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o\Desktop\"/>
    </mc:Choice>
  </mc:AlternateContent>
  <xr:revisionPtr revIDLastSave="0" documentId="13_ncr:1_{0FE2BEF3-9CF2-4F39-A434-955615C718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. TFC" sheetId="1" r:id="rId1"/>
    <sheet name="Sheet1" sheetId="2" state="hidden" r:id="rId2"/>
  </sheets>
  <definedNames>
    <definedName name="_xlnm.Print_Area" localSheetId="0">'8. TFC'!$A:$M</definedName>
    <definedName name="_xlnm.Print_Titles" localSheetId="0">'8. TFC'!$83:$83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3" i="2" l="1"/>
  <c r="Q33" i="2" s="1"/>
  <c r="P21" i="2" l="1"/>
  <c r="R51" i="2"/>
  <c r="S51" i="2" s="1"/>
  <c r="R46" i="2"/>
  <c r="S46" i="2" s="1"/>
  <c r="R43" i="2"/>
  <c r="S43" i="2" s="1"/>
  <c r="Q42" i="2"/>
  <c r="R42" i="2" s="1"/>
  <c r="S42" i="2" s="1"/>
  <c r="P41" i="2"/>
  <c r="R41" i="2" s="1"/>
  <c r="S41" i="2" s="1"/>
  <c r="Q40" i="2"/>
  <c r="P40" i="2"/>
  <c r="R40" i="2" s="1"/>
  <c r="S40" i="2" s="1"/>
  <c r="P35" i="2"/>
  <c r="S35" i="2" s="1"/>
  <c r="S36" i="2" s="1"/>
  <c r="S33" i="2" s="1"/>
  <c r="U33" i="2"/>
  <c r="Q29" i="2"/>
  <c r="S29" i="2" s="1"/>
  <c r="S30" i="2" s="1"/>
  <c r="U27" i="2"/>
  <c r="P27" i="2"/>
  <c r="Q27" i="2" s="1"/>
  <c r="S27" i="2" s="1"/>
  <c r="S23" i="2"/>
  <c r="S24" i="2" s="1"/>
  <c r="L22" i="2"/>
  <c r="L23" i="2" s="1"/>
  <c r="U21" i="2"/>
  <c r="Q21" i="2"/>
  <c r="I20" i="2"/>
  <c r="J20" i="2" s="1"/>
  <c r="B20" i="2"/>
  <c r="C20" i="2" s="1"/>
  <c r="E20" i="2" s="1"/>
  <c r="S17" i="2"/>
  <c r="S18" i="2" s="1"/>
  <c r="I17" i="2"/>
  <c r="J17" i="2" s="1"/>
  <c r="L17" i="2" s="1"/>
  <c r="B17" i="2"/>
  <c r="C17" i="2" s="1"/>
  <c r="E17" i="2" s="1"/>
  <c r="U15" i="2"/>
  <c r="P15" i="2"/>
  <c r="Q15" i="2" s="1"/>
  <c r="B14" i="2"/>
  <c r="C14" i="2" s="1"/>
  <c r="E14" i="2" s="1"/>
  <c r="P11" i="2"/>
  <c r="S11" i="2" s="1"/>
  <c r="S12" i="2" s="1"/>
  <c r="B11" i="2"/>
  <c r="C11" i="2" s="1"/>
  <c r="E11" i="2" s="1"/>
  <c r="U9" i="2"/>
  <c r="P9" i="2"/>
  <c r="Q9" i="2" s="1"/>
  <c r="I8" i="2"/>
  <c r="J8" i="2" s="1"/>
  <c r="L8" i="2" s="1"/>
  <c r="B8" i="2"/>
  <c r="C8" i="2" s="1"/>
  <c r="E8" i="2" s="1"/>
  <c r="S5" i="2"/>
  <c r="S6" i="2" s="1"/>
  <c r="I5" i="2"/>
  <c r="J5" i="2" s="1"/>
  <c r="L5" i="2" s="1"/>
  <c r="B5" i="2"/>
  <c r="C5" i="2" s="1"/>
  <c r="E5" i="2" s="1"/>
  <c r="P3" i="2"/>
  <c r="Q3" i="2" s="1"/>
  <c r="Y2" i="2"/>
  <c r="Y5" i="2" s="1"/>
  <c r="I2" i="2"/>
  <c r="J2" i="2" s="1"/>
  <c r="L2" i="2" s="1"/>
  <c r="B2" i="2"/>
  <c r="C2" i="2" s="1"/>
  <c r="E2" i="2" s="1"/>
  <c r="Y1" i="2"/>
  <c r="Y4" i="2" s="1"/>
  <c r="S21" i="2" l="1"/>
  <c r="S15" i="2"/>
  <c r="S3" i="2"/>
  <c r="T3" i="2" s="1"/>
  <c r="S9" i="2"/>
  <c r="L20" i="2"/>
</calcChain>
</file>

<file path=xl/sharedStrings.xml><?xml version="1.0" encoding="utf-8"?>
<sst xmlns="http://schemas.openxmlformats.org/spreadsheetml/2006/main" count="580" uniqueCount="234">
  <si>
    <t xml:space="preserve">Pricing and Revenue Management </t>
  </si>
  <si>
    <t>TFSC_INT-ALL: TAX FEE SURCHARGE AND CHARGE FOR INTERNATIONAL ROUTES</t>
  </si>
  <si>
    <t>I.</t>
  </si>
  <si>
    <t>FEE TABLE (APPLICABLE FOR 1ADL OR 1CHD/SEGMENT)</t>
  </si>
  <si>
    <t>Service Fee at Bamboo Office</t>
  </si>
  <si>
    <t>Type</t>
  </si>
  <si>
    <t>Code</t>
  </si>
  <si>
    <t>POS: KR
(KRW)</t>
  </si>
  <si>
    <t>POS: TW 
(TWD)</t>
  </si>
  <si>
    <t>POS: JP
(JPY)</t>
  </si>
  <si>
    <t>POS: UK (GBP)</t>
  </si>
  <si>
    <t>Service Fee</t>
  </si>
  <si>
    <t>BCSC</t>
  </si>
  <si>
    <t>Payment fee at Bamboo Office</t>
  </si>
  <si>
    <t xml:space="preserve">II. </t>
  </si>
  <si>
    <t>SURCHARGE TABLE (APPLICABLE FOR 1ADL OR 1CHD/SEGMENT)</t>
  </si>
  <si>
    <t>Surcharges are based on Point of Departure
Point of Departure (POD): First origin of a PNR</t>
  </si>
  <si>
    <t>Point of Departure: VN</t>
  </si>
  <si>
    <t>Surcharge</t>
  </si>
  <si>
    <t>Value</t>
  </si>
  <si>
    <t>Currency</t>
  </si>
  <si>
    <t>Route</t>
  </si>
  <si>
    <t>Channels</t>
  </si>
  <si>
    <t>Convenience Service Charge</t>
  </si>
  <si>
    <t>CSC</t>
  </si>
  <si>
    <t>Admin Surcharge</t>
  </si>
  <si>
    <t>BSAS</t>
  </si>
  <si>
    <t>USD</t>
  </si>
  <si>
    <t>VN-All</t>
  </si>
  <si>
    <t>All channels</t>
  </si>
  <si>
    <t>Fuel surcharge</t>
  </si>
  <si>
    <t>YQ</t>
  </si>
  <si>
    <t>Point of Departure: Outside VN</t>
  </si>
  <si>
    <t>0</t>
  </si>
  <si>
    <t>KRW</t>
  </si>
  <si>
    <t>TWD</t>
  </si>
  <si>
    <t>TW-VN</t>
  </si>
  <si>
    <t>JPY</t>
  </si>
  <si>
    <t>JP-VN</t>
  </si>
  <si>
    <t>GBP</t>
  </si>
  <si>
    <t>UK-VN</t>
  </si>
  <si>
    <t>AUD</t>
  </si>
  <si>
    <t>AU-VN</t>
  </si>
  <si>
    <t>III.</t>
  </si>
  <si>
    <t>TAX TABLE (APPLICABLE FOR 1ADL OR 1CHD/SEGMENT)</t>
  </si>
  <si>
    <t>Taxes are based on Point of Departure</t>
  </si>
  <si>
    <t>Country</t>
  </si>
  <si>
    <t>Tax - VI</t>
  </si>
  <si>
    <t>Tax -EN</t>
  </si>
  <si>
    <t>ADL</t>
  </si>
  <si>
    <t>CHD</t>
  </si>
  <si>
    <t>JC</t>
  </si>
  <si>
    <t>VN</t>
  </si>
  <si>
    <t>SGN/DAD</t>
  </si>
  <si>
    <t>Phí dịch vụ hành khách chặng quốc tế, Việt Nam</t>
  </si>
  <si>
    <t>Passenger Service Charge - International, Vietnam</t>
  </si>
  <si>
    <t>HAN</t>
  </si>
  <si>
    <t>PQC</t>
  </si>
  <si>
    <t>CXR/HPH</t>
  </si>
  <si>
    <t>C4</t>
  </si>
  <si>
    <t>all</t>
  </si>
  <si>
    <t>Phí soi chiếu an ninh hành khách và hành lý, Việt Nam</t>
  </si>
  <si>
    <t>Passenger and Baggage Security Screening Service Charge, Vietnam</t>
  </si>
  <si>
    <t>BP</t>
  </si>
  <si>
    <t>KR</t>
  </si>
  <si>
    <t>ICN</t>
  </si>
  <si>
    <t>Phí dịch vụ hành khách, Hàn Quốc</t>
  </si>
  <si>
    <t>International PSC, Korea</t>
  </si>
  <si>
    <t>OI</t>
  </si>
  <si>
    <t>JP</t>
  </si>
  <si>
    <t>KIX</t>
  </si>
  <si>
    <t>Passenger Security Service Charge, Japan</t>
  </si>
  <si>
    <t>NRT</t>
  </si>
  <si>
    <t>SW</t>
  </si>
  <si>
    <t>International Passenger Service Facilities Charge, Japan</t>
  </si>
  <si>
    <t>TK</t>
  </si>
  <si>
    <t>KIX, NRT</t>
  </si>
  <si>
    <t>International tourist tax</t>
  </si>
  <si>
    <t>TW</t>
  </si>
  <si>
    <t>TPE, KHH</t>
  </si>
  <si>
    <t>Airport Service Charge, TW</t>
  </si>
  <si>
    <t>GB</t>
  </si>
  <si>
    <t>AU</t>
  </si>
  <si>
    <t>All</t>
  </si>
  <si>
    <t>WY</t>
  </si>
  <si>
    <t>applicable for Website/Mobile App only</t>
  </si>
  <si>
    <t>VN-NEA</t>
  </si>
  <si>
    <t>VN-EU/AU/US</t>
  </si>
  <si>
    <t>KR-VN</t>
  </si>
  <si>
    <t>US-VN</t>
  </si>
  <si>
    <t>EU (except for UK) -VN</t>
  </si>
  <si>
    <t>EUR</t>
  </si>
  <si>
    <t>1.1.</t>
  </si>
  <si>
    <t>1.2.</t>
  </si>
  <si>
    <t>Applicable for routes between Vietnam and Northeast Asia</t>
  </si>
  <si>
    <t>Applicable for routes between Vietnam and Europe/Australia/United States of America</t>
  </si>
  <si>
    <t>POS: VN 
(VND)</t>
  </si>
  <si>
    <t>POS: AU 
(AUD)</t>
  </si>
  <si>
    <t>POS: US AND GLOBAL 
(USD)</t>
  </si>
  <si>
    <t>POS: EU (EXCEPT FOR UK) 
(EUR)</t>
  </si>
  <si>
    <t>VN-TW</t>
  </si>
  <si>
    <t>Channel</t>
  </si>
  <si>
    <t>HAN/DAD-KR</t>
  </si>
  <si>
    <t>SGN/CXR-KR</t>
  </si>
  <si>
    <t>Convenience Service Charge and Admin Surcharge</t>
  </si>
  <si>
    <t>VN-AU</t>
  </si>
  <si>
    <t>VN-GB</t>
  </si>
  <si>
    <t>VN-DE</t>
  </si>
  <si>
    <t>DE</t>
  </si>
  <si>
    <t>WG</t>
  </si>
  <si>
    <t>MEL</t>
  </si>
  <si>
    <t>SYD</t>
  </si>
  <si>
    <t>KRW/TWD/JPY/GBP/AUD/USD/EUR</t>
  </si>
  <si>
    <t>All-VN</t>
  </si>
  <si>
    <t>OY</t>
  </si>
  <si>
    <t>RA</t>
  </si>
  <si>
    <t>UB</t>
  </si>
  <si>
    <t>PASSENGER SERVICES CHARGE DEPARTURE INTERNATIONAL, AUSTRALIA</t>
  </si>
  <si>
    <t>PASSENGER SERVICES CHARGE ARRIVAL INTERNATIONAL,AUSTRALIA</t>
  </si>
  <si>
    <t xml:space="preserve">SAFETY AND SECURITY CHARGE DEPARTURE, AUSTRALIA </t>
  </si>
  <si>
    <t>AIRPORT SECURITY CHARGE, GERMANY</t>
  </si>
  <si>
    <t xml:space="preserve">AIR TRANSPORT TAX, GERMANY </t>
  </si>
  <si>
    <t xml:space="preserve">PASSENGER SERVICE CHARGE INTERNATIONAL, GERMANY </t>
  </si>
  <si>
    <t>AIR PASSENGER DUTY APD, UNITED KINGDOM</t>
  </si>
  <si>
    <t>PASSENGER SERVICE CHARGE DEPARTURES, UNITED KINGDOM</t>
  </si>
  <si>
    <t>PASSENGER MOVEMENT CHARGE  PMC, AUSTRALIA</t>
  </si>
  <si>
    <t>1.3.</t>
  </si>
  <si>
    <t>Applicable for routes between Vietnam and Southeast Asia</t>
  </si>
  <si>
    <t>VN-SEA</t>
  </si>
  <si>
    <t>THB</t>
  </si>
  <si>
    <t>SGD</t>
  </si>
  <si>
    <t>TH-VN</t>
  </si>
  <si>
    <t>SG-VN</t>
  </si>
  <si>
    <t>VN-TH</t>
  </si>
  <si>
    <t>TH</t>
  </si>
  <si>
    <t>VN-SG</t>
  </si>
  <si>
    <t>SG</t>
  </si>
  <si>
    <t xml:space="preserve">AIRPORT DEVELOPMENT LEVY </t>
  </si>
  <si>
    <t>L7</t>
  </si>
  <si>
    <t>AVIATION LEVY</t>
  </si>
  <si>
    <t>OP</t>
  </si>
  <si>
    <t>PASSENGER SERVICE AND SECURITY FEE</t>
  </si>
  <si>
    <t>SIN</t>
  </si>
  <si>
    <t>E7</t>
  </si>
  <si>
    <t>G8</t>
  </si>
  <si>
    <t>TS</t>
  </si>
  <si>
    <t>ADVANCE PASSENGER PROCESSING USER CHARGE</t>
  </si>
  <si>
    <t>INTERNATIONAL DEPARTURE FEE</t>
  </si>
  <si>
    <t xml:space="preserve">PASSENGER SERVICE CHARGE </t>
  </si>
  <si>
    <t>POS: TH (THB)</t>
  </si>
  <si>
    <t>POS: SG (SGD)</t>
  </si>
  <si>
    <t>Phí dịch vụ an ninh hành khách, Nhật Bản</t>
  </si>
  <si>
    <t>Phí tiện ích dịch vụ hành khách chặng quốc tế, Nhật Bản</t>
  </si>
  <si>
    <t>Thuế dành cho khách du lịch chặng quốc tế</t>
  </si>
  <si>
    <t>Phí dịch vụ sân bay</t>
  </si>
  <si>
    <t>Phí di chuyển hành khách, Úc</t>
  </si>
  <si>
    <t>Phí an toàn và an ninh quá cảnh, Úc</t>
  </si>
  <si>
    <t>Phí an ninh sân bay, Đức</t>
  </si>
  <si>
    <t>Thuế vận tải hàng không, Đức</t>
  </si>
  <si>
    <t>Thuế hành khách hàng không, Vương Quốc Anh</t>
  </si>
  <si>
    <t>Phí dịch vụ hành khách, Vương Quốc Anh</t>
  </si>
  <si>
    <t>Phí phát triển sân bay</t>
  </si>
  <si>
    <t>Phí hàng không</t>
  </si>
  <si>
    <t>Phí dịch vụ và an ninh hành khách</t>
  </si>
  <si>
    <t>Phí dịch vụ hành khách</t>
  </si>
  <si>
    <t>Phí đi và đến quốc tế</t>
  </si>
  <si>
    <t>From</t>
  </si>
  <si>
    <t>To</t>
  </si>
  <si>
    <t>VN-EU (except for DE, GB)</t>
  </si>
  <si>
    <t>Itinerary</t>
  </si>
  <si>
    <t>Point of Departure: TW</t>
  </si>
  <si>
    <t>Other itineraries</t>
  </si>
  <si>
    <t>Sectors between</t>
  </si>
  <si>
    <t>Valid for ticket issued/exchanged</t>
  </si>
  <si>
    <t>Point of Departure: JP</t>
  </si>
  <si>
    <t>Point of Departure: KR</t>
  </si>
  <si>
    <t>Point of Departure: AU</t>
  </si>
  <si>
    <t>Point of Departure: GB</t>
  </si>
  <si>
    <t>Point of Departure: DE</t>
  </si>
  <si>
    <t>Point of Departure: TH</t>
  </si>
  <si>
    <t>Point of Departure: SG</t>
  </si>
  <si>
    <t>Effective for ticketing on/after 09MAR2022 and travel commencing on/after 09MAR2022</t>
  </si>
  <si>
    <t>icnhan</t>
  </si>
  <si>
    <t>Thuế phí</t>
  </si>
  <si>
    <t>Thuế phí + CSC</t>
  </si>
  <si>
    <t>KRW&gt;VNĐ</t>
  </si>
  <si>
    <t>all in</t>
  </si>
  <si>
    <t>ifly</t>
  </si>
  <si>
    <t>HANICN</t>
  </si>
  <si>
    <t>USD&gt;VND</t>
  </si>
  <si>
    <t>ROUNDTRIP</t>
  </si>
  <si>
    <t>NRTHAN</t>
  </si>
  <si>
    <t>JPY&gt;VNĐ</t>
  </si>
  <si>
    <t>HANNRT</t>
  </si>
  <si>
    <t>KRW&gt;USD</t>
  </si>
  <si>
    <t>tpehan</t>
  </si>
  <si>
    <t>TWD&gt;VND</t>
  </si>
  <si>
    <t>HANTPE</t>
  </si>
  <si>
    <t>hanfra</t>
  </si>
  <si>
    <t>JPY&gt;USD</t>
  </si>
  <si>
    <t>FRAHAN</t>
  </si>
  <si>
    <t>EUR&gt;VND</t>
  </si>
  <si>
    <t>LHRHAN</t>
  </si>
  <si>
    <t>GBP&gt;VND</t>
  </si>
  <si>
    <t>HANLHR</t>
  </si>
  <si>
    <t>TWD&gt;USD</t>
  </si>
  <si>
    <t>MELSGN</t>
  </si>
  <si>
    <t>AUD&gt;VND</t>
  </si>
  <si>
    <t>SGNMEL</t>
  </si>
  <si>
    <t>arrival charge</t>
  </si>
  <si>
    <t>AUD&gt;USD</t>
  </si>
  <si>
    <t>GBP&gt;USD</t>
  </si>
  <si>
    <t>HANFRA</t>
  </si>
  <si>
    <t>EUR&gt;USD</t>
  </si>
  <si>
    <t>VND</t>
  </si>
  <si>
    <t>SGNSYD</t>
  </si>
  <si>
    <t>SYDSGN</t>
  </si>
  <si>
    <t>SGNSYD//MELSGN</t>
  </si>
  <si>
    <t>SGNMEL//SYDSGN</t>
  </si>
  <si>
    <t>f</t>
  </si>
  <si>
    <t>CANCEL CHARGING PAYMENT FEE AT BAMBOO OFFICE</t>
  </si>
  <si>
    <t>Effective for ticketing on/after 05MAY2022 and travel commencing on/after 05MAY2022</t>
  </si>
  <si>
    <t xml:space="preserve">10-Jun-22 (on IBS)
15-Jun-22 (on GDS)
</t>
  </si>
  <si>
    <t>VN-JP</t>
  </si>
  <si>
    <t>LHR</t>
  </si>
  <si>
    <t>LGW</t>
  </si>
  <si>
    <t>Phí xử lý thông tin hành khách đi và đến</t>
  </si>
  <si>
    <t>Reference: TFSC_INT-ALL_V22.12</t>
  </si>
  <si>
    <t>Departure airport</t>
  </si>
  <si>
    <t>Arrival airport</t>
  </si>
  <si>
    <t>Phí dịch vụ hành khách chặng quốc tế, Úc</t>
  </si>
  <si>
    <t>Phí dịch vụ hành khách chặng quốc tế, Đức</t>
  </si>
  <si>
    <t>PASSENGER SERVICES CHARGE ARRIVAL INTERNATIONAL, AUSTRALIA</t>
  </si>
  <si>
    <t>Hanoi, 08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</si>
</sst>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0000_-;\-* #,##0.000000_-;_-* &quot;-&quot;??_-;_-@_-"/>
    <numFmt numFmtId="167" formatCode="_(* #,##0.000000_);_(* \(#,##0.000000\);_(* &quot;-&quot;??????_);_(@_)"/>
    <numFmt numFmtId="168" formatCode="[$-409]d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3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0" xfId="0" applyNumberFormat="1" applyFont="1"/>
    <xf numFmtId="0" fontId="8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" xfId="0" applyBorder="1"/>
    <xf numFmtId="166" fontId="0" fillId="5" borderId="1" xfId="0" applyNumberFormat="1" applyFill="1" applyBorder="1"/>
    <xf numFmtId="0" fontId="7" fillId="0" borderId="1" xfId="0" applyFont="1" applyBorder="1"/>
    <xf numFmtId="0" fontId="0" fillId="4" borderId="0" xfId="0" applyFill="1"/>
    <xf numFmtId="0" fontId="0" fillId="0" borderId="0" xfId="0" applyBorder="1"/>
    <xf numFmtId="0" fontId="0" fillId="4" borderId="1" xfId="0" applyFill="1" applyBorder="1"/>
    <xf numFmtId="164" fontId="0" fillId="6" borderId="0" xfId="0" applyNumberFormat="1" applyFill="1" applyBorder="1"/>
    <xf numFmtId="164" fontId="0" fillId="0" borderId="0" xfId="0" applyNumberFormat="1"/>
    <xf numFmtId="1" fontId="0" fillId="0" borderId="1" xfId="0" applyNumberFormat="1" applyBorder="1"/>
    <xf numFmtId="43" fontId="0" fillId="0" borderId="0" xfId="0" applyNumberFormat="1"/>
    <xf numFmtId="1" fontId="0" fillId="4" borderId="0" xfId="0" applyNumberFormat="1" applyFill="1" applyBorder="1"/>
    <xf numFmtId="164" fontId="0" fillId="6" borderId="0" xfId="0" applyNumberFormat="1" applyFill="1"/>
    <xf numFmtId="0" fontId="0" fillId="4" borderId="0" xfId="0" applyFill="1" applyBorder="1"/>
    <xf numFmtId="0" fontId="7" fillId="0" borderId="0" xfId="0" applyFont="1" applyFill="1" applyBorder="1"/>
    <xf numFmtId="167" fontId="0" fillId="0" borderId="0" xfId="0" applyNumberFormat="1"/>
    <xf numFmtId="0" fontId="0" fillId="2" borderId="1" xfId="0" applyFill="1" applyBorder="1"/>
    <xf numFmtId="0" fontId="7" fillId="0" borderId="0" xfId="0" applyFont="1" applyBorder="1"/>
    <xf numFmtId="0" fontId="0" fillId="7" borderId="0" xfId="0" applyFill="1"/>
    <xf numFmtId="0" fontId="0" fillId="8" borderId="0" xfId="0" applyFill="1"/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4" fontId="2" fillId="0" borderId="1" xfId="1" quotePrefix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164" fontId="2" fillId="0" borderId="0" xfId="1" quotePrefix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left" vertical="center"/>
    </xf>
    <xf numFmtId="168" fontId="2" fillId="0" borderId="1" xfId="0" applyNumberFormat="1" applyFont="1" applyBorder="1" applyAlignment="1">
      <alignment horizontal="left" vertical="center"/>
    </xf>
    <xf numFmtId="168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2" fillId="0" borderId="0" xfId="1" quotePrefix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8" fontId="13" fillId="4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/>
    <xf numFmtId="15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B913F58B-9E32-45AD-970A-F1F70AAEFA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119"/>
  <sheetViews>
    <sheetView tabSelected="1" topLeftCell="A117" zoomScale="70" zoomScaleNormal="70" zoomScalePageLayoutView="70" workbookViewId="0">
      <selection activeCell="E136" sqref="E136"/>
    </sheetView>
  </sheetViews>
  <sheetFormatPr defaultColWidth="8.7109375" defaultRowHeight="15" x14ac:dyDescent="0.25"/>
  <cols>
    <col min="1" max="1" width="8.7109375" style="3" customWidth="1"/>
    <col min="2" max="2" width="18.5703125" style="3" customWidth="1"/>
    <col min="3" max="3" width="18" style="3" customWidth="1"/>
    <col min="4" max="4" width="19.7109375" style="3" customWidth="1"/>
    <col min="5" max="5" width="24" style="5" customWidth="1"/>
    <col min="6" max="6" width="25.140625" style="3" customWidth="1"/>
    <col min="7" max="7" width="33.5703125" style="3" customWidth="1"/>
    <col min="8" max="8" width="19.28515625" style="3" customWidth="1"/>
    <col min="9" max="10" width="19.7109375" style="3" customWidth="1"/>
    <col min="11" max="11" width="14.7109375" style="3" bestFit="1" customWidth="1"/>
    <col min="12" max="12" width="11.85546875" style="3" customWidth="1"/>
    <col min="13" max="13" width="18.7109375" style="3" customWidth="1"/>
    <col min="14" max="16384" width="8.7109375" style="3"/>
  </cols>
  <sheetData>
    <row r="1" spans="1:18" ht="13.9" x14ac:dyDescent="0.25">
      <c r="A1" s="35" t="s">
        <v>0</v>
      </c>
      <c r="B1" s="1"/>
      <c r="C1" s="36"/>
      <c r="D1" s="1"/>
      <c r="E1" s="4"/>
      <c r="F1" s="1"/>
      <c r="G1" s="36"/>
      <c r="H1" s="36"/>
      <c r="I1" s="37" t="s">
        <v>233</v>
      </c>
      <c r="K1" s="2"/>
      <c r="M1" s="37"/>
      <c r="N1" s="37"/>
      <c r="O1" s="1"/>
      <c r="P1" s="1"/>
      <c r="Q1" s="1"/>
      <c r="R1" s="1"/>
    </row>
    <row r="2" spans="1:18" ht="13.9" x14ac:dyDescent="0.25">
      <c r="A2" s="35" t="s">
        <v>227</v>
      </c>
      <c r="B2" s="1"/>
      <c r="C2" s="36"/>
      <c r="D2" s="1"/>
      <c r="E2" s="4"/>
      <c r="F2" s="1"/>
      <c r="G2" s="36"/>
      <c r="H2" s="36"/>
      <c r="I2" s="36"/>
      <c r="J2" s="36"/>
      <c r="K2" s="2"/>
      <c r="M2" s="37"/>
      <c r="N2" s="37"/>
      <c r="O2" s="1"/>
      <c r="P2" s="1"/>
      <c r="Q2" s="1"/>
      <c r="R2" s="1"/>
    </row>
    <row r="3" spans="1:18" ht="13.9" x14ac:dyDescent="0.25">
      <c r="A3" s="35"/>
      <c r="B3" s="1"/>
      <c r="C3" s="36"/>
      <c r="D3" s="1"/>
      <c r="E3" s="4"/>
      <c r="F3" s="1"/>
      <c r="G3" s="36"/>
      <c r="H3" s="36"/>
      <c r="I3" s="36"/>
      <c r="J3" s="36"/>
      <c r="K3" s="2"/>
      <c r="M3" s="37"/>
      <c r="N3" s="37"/>
      <c r="O3" s="1"/>
      <c r="P3" s="1"/>
      <c r="Q3" s="1"/>
      <c r="R3" s="1"/>
    </row>
    <row r="4" spans="1:18" s="1" customFormat="1" ht="13.9" x14ac:dyDescent="0.25">
      <c r="A4" s="35"/>
      <c r="C4" s="36"/>
      <c r="E4" s="4"/>
      <c r="G4" s="36"/>
      <c r="H4" s="36"/>
      <c r="I4" s="36"/>
      <c r="J4" s="36"/>
      <c r="K4" s="2"/>
      <c r="M4" s="37"/>
      <c r="N4" s="37"/>
    </row>
    <row r="5" spans="1:18" ht="13.9" x14ac:dyDescent="0.25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8" ht="13.9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8" s="1" customFormat="1" ht="13.9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8" ht="13.9" x14ac:dyDescent="0.25">
      <c r="A8" s="38" t="s">
        <v>2</v>
      </c>
      <c r="B8" s="121" t="s">
        <v>3</v>
      </c>
      <c r="C8" s="121"/>
      <c r="D8" s="121"/>
      <c r="E8" s="121"/>
      <c r="F8" s="121"/>
      <c r="G8" s="121"/>
    </row>
    <row r="9" spans="1:18" ht="13.9" x14ac:dyDescent="0.25">
      <c r="A9" s="38"/>
      <c r="B9" s="39"/>
      <c r="C9" s="39"/>
      <c r="D9" s="39"/>
      <c r="E9" s="39"/>
      <c r="F9" s="39"/>
      <c r="G9" s="39"/>
    </row>
    <row r="10" spans="1:18" ht="13.9" x14ac:dyDescent="0.25">
      <c r="A10" s="40">
        <v>1</v>
      </c>
      <c r="B10" s="122" t="s">
        <v>4</v>
      </c>
      <c r="C10" s="122"/>
      <c r="D10" s="122"/>
      <c r="E10" s="122"/>
      <c r="F10" s="5"/>
      <c r="G10" s="5"/>
    </row>
    <row r="11" spans="1:18" ht="13.9" x14ac:dyDescent="0.25">
      <c r="A11" s="40"/>
      <c r="B11" s="41" t="s">
        <v>181</v>
      </c>
      <c r="C11" s="42"/>
      <c r="D11" s="43"/>
      <c r="E11" s="44"/>
      <c r="F11" s="5"/>
      <c r="G11" s="5"/>
    </row>
    <row r="12" spans="1:18" ht="13.9" x14ac:dyDescent="0.25">
      <c r="A12" s="40"/>
      <c r="B12" s="41"/>
      <c r="C12" s="42"/>
      <c r="D12" s="43"/>
      <c r="E12" s="44"/>
      <c r="F12" s="5"/>
      <c r="G12" s="5"/>
    </row>
    <row r="13" spans="1:18" ht="14.45" x14ac:dyDescent="0.3">
      <c r="A13" s="45" t="s">
        <v>92</v>
      </c>
      <c r="B13" s="46" t="s">
        <v>94</v>
      </c>
    </row>
    <row r="14" spans="1:18" ht="41.45" x14ac:dyDescent="0.25">
      <c r="A14" s="47"/>
      <c r="B14" s="48" t="s">
        <v>5</v>
      </c>
      <c r="C14" s="48" t="s">
        <v>6</v>
      </c>
      <c r="D14" s="48" t="s">
        <v>96</v>
      </c>
      <c r="E14" s="48" t="s">
        <v>7</v>
      </c>
      <c r="F14" s="48" t="s">
        <v>8</v>
      </c>
      <c r="G14" s="48" t="s">
        <v>9</v>
      </c>
      <c r="H14" s="48" t="s">
        <v>10</v>
      </c>
      <c r="I14" s="48" t="s">
        <v>97</v>
      </c>
      <c r="J14" s="48" t="s">
        <v>99</v>
      </c>
      <c r="K14" s="48" t="s">
        <v>149</v>
      </c>
      <c r="L14" s="48" t="s">
        <v>150</v>
      </c>
      <c r="M14" s="48" t="s">
        <v>98</v>
      </c>
    </row>
    <row r="15" spans="1:18" ht="14.45" x14ac:dyDescent="0.25">
      <c r="A15" s="47"/>
      <c r="B15" s="49" t="s">
        <v>11</v>
      </c>
      <c r="C15" s="50" t="s">
        <v>12</v>
      </c>
      <c r="D15" s="51">
        <v>150000</v>
      </c>
      <c r="E15" s="52">
        <v>7500</v>
      </c>
      <c r="F15" s="52">
        <v>200</v>
      </c>
      <c r="G15" s="53">
        <v>900</v>
      </c>
      <c r="H15" s="54">
        <v>5</v>
      </c>
      <c r="I15" s="54">
        <v>10</v>
      </c>
      <c r="J15" s="54">
        <v>6</v>
      </c>
      <c r="K15" s="54">
        <v>250</v>
      </c>
      <c r="L15" s="54">
        <v>10</v>
      </c>
      <c r="M15" s="54">
        <v>7</v>
      </c>
    </row>
    <row r="16" spans="1:18" ht="14.45" x14ac:dyDescent="0.3">
      <c r="A16" s="45" t="s">
        <v>93</v>
      </c>
      <c r="B16" s="46" t="s">
        <v>95</v>
      </c>
    </row>
    <row r="17" spans="1:13" ht="41.45" x14ac:dyDescent="0.25">
      <c r="A17" s="47"/>
      <c r="B17" s="48" t="s">
        <v>5</v>
      </c>
      <c r="C17" s="48" t="s">
        <v>6</v>
      </c>
      <c r="D17" s="48" t="s">
        <v>96</v>
      </c>
      <c r="E17" s="48" t="s">
        <v>7</v>
      </c>
      <c r="F17" s="48" t="s">
        <v>8</v>
      </c>
      <c r="G17" s="48" t="s">
        <v>9</v>
      </c>
      <c r="H17" s="48" t="s">
        <v>10</v>
      </c>
      <c r="I17" s="48" t="s">
        <v>97</v>
      </c>
      <c r="J17" s="48" t="s">
        <v>99</v>
      </c>
      <c r="K17" s="48" t="s">
        <v>149</v>
      </c>
      <c r="L17" s="48" t="s">
        <v>150</v>
      </c>
      <c r="M17" s="48" t="s">
        <v>98</v>
      </c>
    </row>
    <row r="18" spans="1:13" ht="14.45" x14ac:dyDescent="0.25">
      <c r="A18" s="47"/>
      <c r="B18" s="49" t="s">
        <v>11</v>
      </c>
      <c r="C18" s="50" t="s">
        <v>12</v>
      </c>
      <c r="D18" s="51">
        <v>350000</v>
      </c>
      <c r="E18" s="52">
        <v>16700</v>
      </c>
      <c r="F18" s="52">
        <v>420</v>
      </c>
      <c r="G18" s="52">
        <v>1800</v>
      </c>
      <c r="H18" s="54">
        <v>12</v>
      </c>
      <c r="I18" s="54">
        <v>20</v>
      </c>
      <c r="J18" s="54">
        <v>15</v>
      </c>
      <c r="K18" s="54">
        <v>550</v>
      </c>
      <c r="L18" s="54">
        <v>20</v>
      </c>
      <c r="M18" s="54">
        <v>15</v>
      </c>
    </row>
    <row r="19" spans="1:13" ht="14.45" x14ac:dyDescent="0.3">
      <c r="A19" s="45" t="s">
        <v>126</v>
      </c>
      <c r="B19" s="46" t="s">
        <v>127</v>
      </c>
    </row>
    <row r="20" spans="1:13" ht="41.45" x14ac:dyDescent="0.25">
      <c r="A20" s="47"/>
      <c r="B20" s="48" t="s">
        <v>5</v>
      </c>
      <c r="C20" s="48" t="s">
        <v>6</v>
      </c>
      <c r="D20" s="48" t="s">
        <v>96</v>
      </c>
      <c r="E20" s="48" t="s">
        <v>7</v>
      </c>
      <c r="F20" s="48" t="s">
        <v>8</v>
      </c>
      <c r="G20" s="48" t="s">
        <v>9</v>
      </c>
      <c r="H20" s="48" t="s">
        <v>10</v>
      </c>
      <c r="I20" s="48" t="s">
        <v>97</v>
      </c>
      <c r="J20" s="48" t="s">
        <v>99</v>
      </c>
      <c r="K20" s="48" t="s">
        <v>149</v>
      </c>
      <c r="L20" s="48" t="s">
        <v>150</v>
      </c>
      <c r="M20" s="48" t="s">
        <v>98</v>
      </c>
    </row>
    <row r="21" spans="1:13" ht="14.45" x14ac:dyDescent="0.25">
      <c r="A21" s="47"/>
      <c r="B21" s="49" t="s">
        <v>11</v>
      </c>
      <c r="C21" s="50" t="s">
        <v>12</v>
      </c>
      <c r="D21" s="51">
        <v>100000</v>
      </c>
      <c r="E21" s="52">
        <v>5500</v>
      </c>
      <c r="F21" s="52">
        <v>125</v>
      </c>
      <c r="G21" s="52">
        <v>500</v>
      </c>
      <c r="H21" s="54">
        <v>4</v>
      </c>
      <c r="I21" s="54">
        <v>6</v>
      </c>
      <c r="J21" s="54">
        <v>4</v>
      </c>
      <c r="K21" s="54">
        <v>150</v>
      </c>
      <c r="L21" s="54">
        <v>6</v>
      </c>
      <c r="M21" s="54">
        <v>4</v>
      </c>
    </row>
    <row r="22" spans="1:13" ht="13.9" x14ac:dyDescent="0.25">
      <c r="A22" s="40">
        <v>2</v>
      </c>
      <c r="B22" s="122" t="s">
        <v>13</v>
      </c>
      <c r="C22" s="122"/>
      <c r="D22" s="122"/>
      <c r="E22" s="122"/>
      <c r="F22" s="122"/>
      <c r="G22" s="5"/>
    </row>
    <row r="23" spans="1:13" ht="14.25" customHeight="1" x14ac:dyDescent="0.25">
      <c r="A23" s="40"/>
      <c r="B23" s="57" t="s">
        <v>220</v>
      </c>
      <c r="C23" s="58"/>
      <c r="D23" s="58"/>
      <c r="E23" s="58"/>
      <c r="F23" s="59"/>
      <c r="G23" s="5"/>
    </row>
    <row r="24" spans="1:13" ht="14.25" customHeight="1" x14ac:dyDescent="0.25">
      <c r="A24" s="40"/>
      <c r="B24" s="57" t="s">
        <v>221</v>
      </c>
      <c r="C24" s="58"/>
      <c r="D24" s="58"/>
      <c r="E24" s="58"/>
      <c r="F24" s="59"/>
      <c r="G24" s="5"/>
    </row>
    <row r="25" spans="1:13" ht="13.9" x14ac:dyDescent="0.25">
      <c r="A25" s="40" t="s">
        <v>14</v>
      </c>
      <c r="B25" s="113" t="s">
        <v>15</v>
      </c>
      <c r="C25" s="113"/>
      <c r="D25" s="113"/>
      <c r="E25" s="113"/>
      <c r="F25" s="113"/>
      <c r="G25" s="113"/>
    </row>
    <row r="26" spans="1:13" ht="13.9" x14ac:dyDescent="0.25">
      <c r="B26" s="113" t="s">
        <v>16</v>
      </c>
      <c r="C26" s="113"/>
      <c r="D26" s="113"/>
      <c r="E26" s="113"/>
      <c r="F26" s="113"/>
      <c r="G26" s="113"/>
    </row>
    <row r="27" spans="1:13" ht="13.9" x14ac:dyDescent="0.25">
      <c r="A27" s="40">
        <v>1</v>
      </c>
      <c r="B27" s="61" t="s">
        <v>104</v>
      </c>
      <c r="C27" s="60"/>
      <c r="D27" s="60"/>
      <c r="E27" s="60"/>
      <c r="F27" s="60"/>
      <c r="G27" s="60"/>
    </row>
    <row r="28" spans="1:13" ht="13.9" x14ac:dyDescent="0.25">
      <c r="A28" s="40"/>
      <c r="B28" s="41" t="s">
        <v>181</v>
      </c>
      <c r="C28" s="60"/>
      <c r="D28" s="60"/>
      <c r="E28" s="60"/>
      <c r="F28" s="60"/>
      <c r="G28" s="60"/>
    </row>
    <row r="29" spans="1:13" ht="14.45" x14ac:dyDescent="0.3">
      <c r="A29" s="45" t="s">
        <v>92</v>
      </c>
      <c r="B29" s="46" t="s">
        <v>17</v>
      </c>
      <c r="C29" s="62"/>
      <c r="D29" s="62"/>
    </row>
    <row r="30" spans="1:13" ht="13.9" x14ac:dyDescent="0.25">
      <c r="B30" s="48" t="s">
        <v>18</v>
      </c>
      <c r="C30" s="48" t="s">
        <v>6</v>
      </c>
      <c r="D30" s="48" t="s">
        <v>19</v>
      </c>
      <c r="E30" s="48" t="s">
        <v>20</v>
      </c>
      <c r="F30" s="63" t="s">
        <v>21</v>
      </c>
      <c r="G30" s="63" t="s">
        <v>22</v>
      </c>
    </row>
    <row r="31" spans="1:13" ht="27.6" x14ac:dyDescent="0.25">
      <c r="B31" s="50" t="s">
        <v>23</v>
      </c>
      <c r="C31" s="50" t="s">
        <v>24</v>
      </c>
      <c r="D31" s="50">
        <v>7</v>
      </c>
      <c r="E31" s="50" t="s">
        <v>27</v>
      </c>
      <c r="F31" s="64" t="s">
        <v>86</v>
      </c>
      <c r="G31" s="65" t="s">
        <v>85</v>
      </c>
    </row>
    <row r="32" spans="1:13" ht="27.6" x14ac:dyDescent="0.25">
      <c r="B32" s="50" t="s">
        <v>23</v>
      </c>
      <c r="C32" s="50" t="s">
        <v>24</v>
      </c>
      <c r="D32" s="50">
        <v>15</v>
      </c>
      <c r="E32" s="50" t="s">
        <v>27</v>
      </c>
      <c r="F32" s="64" t="s">
        <v>87</v>
      </c>
      <c r="G32" s="65" t="s">
        <v>85</v>
      </c>
    </row>
    <row r="33" spans="1:7" ht="27.6" x14ac:dyDescent="0.25">
      <c r="B33" s="66" t="s">
        <v>23</v>
      </c>
      <c r="C33" s="66" t="s">
        <v>24</v>
      </c>
      <c r="D33" s="66">
        <v>4</v>
      </c>
      <c r="E33" s="66" t="s">
        <v>27</v>
      </c>
      <c r="F33" s="67" t="s">
        <v>128</v>
      </c>
      <c r="G33" s="68" t="s">
        <v>85</v>
      </c>
    </row>
    <row r="34" spans="1:7" ht="13.9" x14ac:dyDescent="0.25">
      <c r="B34" s="50" t="s">
        <v>25</v>
      </c>
      <c r="C34" s="50" t="s">
        <v>26</v>
      </c>
      <c r="D34" s="50">
        <v>7</v>
      </c>
      <c r="E34" s="50" t="s">
        <v>27</v>
      </c>
      <c r="F34" s="64" t="s">
        <v>28</v>
      </c>
      <c r="G34" s="65" t="s">
        <v>29</v>
      </c>
    </row>
    <row r="35" spans="1:7" ht="13.9" x14ac:dyDescent="0.25">
      <c r="B35" s="56"/>
      <c r="C35" s="56"/>
      <c r="D35" s="56"/>
      <c r="E35" s="56"/>
      <c r="F35" s="69"/>
      <c r="G35" s="70"/>
    </row>
    <row r="36" spans="1:7" ht="14.45" x14ac:dyDescent="0.3">
      <c r="A36" s="45" t="s">
        <v>93</v>
      </c>
      <c r="B36" s="46" t="s">
        <v>32</v>
      </c>
      <c r="C36" s="46"/>
      <c r="D36" s="46"/>
      <c r="E36" s="46"/>
      <c r="F36" s="46"/>
    </row>
    <row r="37" spans="1:7" ht="13.9" x14ac:dyDescent="0.25">
      <c r="B37" s="71" t="s">
        <v>18</v>
      </c>
      <c r="C37" s="48" t="s">
        <v>6</v>
      </c>
      <c r="D37" s="48" t="s">
        <v>19</v>
      </c>
      <c r="E37" s="48" t="s">
        <v>20</v>
      </c>
      <c r="F37" s="48" t="s">
        <v>21</v>
      </c>
      <c r="G37" s="48" t="s">
        <v>22</v>
      </c>
    </row>
    <row r="38" spans="1:7" ht="27.6" x14ac:dyDescent="0.25">
      <c r="B38" s="50" t="s">
        <v>23</v>
      </c>
      <c r="C38" s="50" t="s">
        <v>24</v>
      </c>
      <c r="D38" s="48">
        <v>900</v>
      </c>
      <c r="E38" s="50" t="s">
        <v>37</v>
      </c>
      <c r="F38" s="64" t="s">
        <v>38</v>
      </c>
      <c r="G38" s="65" t="s">
        <v>85</v>
      </c>
    </row>
    <row r="39" spans="1:7" ht="27.6" x14ac:dyDescent="0.25">
      <c r="B39" s="50" t="s">
        <v>23</v>
      </c>
      <c r="C39" s="50" t="s">
        <v>24</v>
      </c>
      <c r="D39" s="50">
        <v>7500</v>
      </c>
      <c r="E39" s="50" t="s">
        <v>34</v>
      </c>
      <c r="F39" s="64" t="s">
        <v>88</v>
      </c>
      <c r="G39" s="65" t="s">
        <v>85</v>
      </c>
    </row>
    <row r="40" spans="1:7" ht="27.6" x14ac:dyDescent="0.25">
      <c r="B40" s="50" t="s">
        <v>23</v>
      </c>
      <c r="C40" s="50" t="s">
        <v>24</v>
      </c>
      <c r="D40" s="50">
        <v>200</v>
      </c>
      <c r="E40" s="50" t="s">
        <v>35</v>
      </c>
      <c r="F40" s="64" t="s">
        <v>36</v>
      </c>
      <c r="G40" s="65" t="s">
        <v>85</v>
      </c>
    </row>
    <row r="41" spans="1:7" ht="27.6" x14ac:dyDescent="0.25">
      <c r="B41" s="50" t="s">
        <v>23</v>
      </c>
      <c r="C41" s="50" t="s">
        <v>24</v>
      </c>
      <c r="D41" s="50">
        <v>20</v>
      </c>
      <c r="E41" s="50" t="s">
        <v>41</v>
      </c>
      <c r="F41" s="64" t="s">
        <v>42</v>
      </c>
      <c r="G41" s="65" t="s">
        <v>85</v>
      </c>
    </row>
    <row r="42" spans="1:7" ht="27.6" x14ac:dyDescent="0.25">
      <c r="B42" s="50" t="s">
        <v>23</v>
      </c>
      <c r="C42" s="50" t="s">
        <v>24</v>
      </c>
      <c r="D42" s="50">
        <v>12</v>
      </c>
      <c r="E42" s="50" t="s">
        <v>39</v>
      </c>
      <c r="F42" s="64" t="s">
        <v>40</v>
      </c>
      <c r="G42" s="65" t="s">
        <v>85</v>
      </c>
    </row>
    <row r="43" spans="1:7" ht="27.6" x14ac:dyDescent="0.25">
      <c r="B43" s="50" t="s">
        <v>23</v>
      </c>
      <c r="C43" s="50" t="s">
        <v>24</v>
      </c>
      <c r="D43" s="50">
        <v>15</v>
      </c>
      <c r="E43" s="50" t="s">
        <v>91</v>
      </c>
      <c r="F43" s="72" t="s">
        <v>90</v>
      </c>
      <c r="G43" s="65" t="s">
        <v>85</v>
      </c>
    </row>
    <row r="44" spans="1:7" ht="27.6" x14ac:dyDescent="0.25">
      <c r="B44" s="50" t="s">
        <v>23</v>
      </c>
      <c r="C44" s="50" t="s">
        <v>24</v>
      </c>
      <c r="D44" s="50">
        <v>15</v>
      </c>
      <c r="E44" s="50" t="s">
        <v>27</v>
      </c>
      <c r="F44" s="64" t="s">
        <v>89</v>
      </c>
      <c r="G44" s="65" t="s">
        <v>85</v>
      </c>
    </row>
    <row r="45" spans="1:7" ht="27.6" x14ac:dyDescent="0.25">
      <c r="B45" s="50" t="s">
        <v>23</v>
      </c>
      <c r="C45" s="50" t="s">
        <v>24</v>
      </c>
      <c r="D45" s="66">
        <v>150</v>
      </c>
      <c r="E45" s="50" t="s">
        <v>129</v>
      </c>
      <c r="F45" s="72" t="s">
        <v>131</v>
      </c>
      <c r="G45" s="65" t="s">
        <v>85</v>
      </c>
    </row>
    <row r="46" spans="1:7" ht="27.6" x14ac:dyDescent="0.25">
      <c r="B46" s="50" t="s">
        <v>23</v>
      </c>
      <c r="C46" s="50" t="s">
        <v>24</v>
      </c>
      <c r="D46" s="66">
        <v>6</v>
      </c>
      <c r="E46" s="50" t="s">
        <v>130</v>
      </c>
      <c r="F46" s="64" t="s">
        <v>132</v>
      </c>
      <c r="G46" s="65" t="s">
        <v>85</v>
      </c>
    </row>
    <row r="47" spans="1:7" ht="27.6" x14ac:dyDescent="0.25">
      <c r="B47" s="50" t="s">
        <v>25</v>
      </c>
      <c r="C47" s="50" t="s">
        <v>26</v>
      </c>
      <c r="D47" s="73" t="s">
        <v>33</v>
      </c>
      <c r="E47" s="49" t="s">
        <v>112</v>
      </c>
      <c r="F47" s="72" t="s">
        <v>113</v>
      </c>
      <c r="G47" s="65" t="s">
        <v>29</v>
      </c>
    </row>
    <row r="48" spans="1:7" ht="13.9" x14ac:dyDescent="0.25">
      <c r="B48" s="56"/>
      <c r="C48" s="56"/>
      <c r="D48" s="99"/>
      <c r="E48" s="55"/>
      <c r="F48" s="74"/>
      <c r="G48" s="70"/>
    </row>
    <row r="49" spans="1:11" ht="13.9" x14ac:dyDescent="0.25">
      <c r="A49" s="40">
        <v>2</v>
      </c>
      <c r="B49" s="75" t="s">
        <v>30</v>
      </c>
      <c r="C49" s="56"/>
      <c r="D49" s="76"/>
      <c r="E49" s="55"/>
      <c r="F49" s="74"/>
      <c r="G49" s="70"/>
    </row>
    <row r="50" spans="1:11" ht="40.15" customHeight="1" x14ac:dyDescent="0.25">
      <c r="B50" s="123" t="s">
        <v>18</v>
      </c>
      <c r="C50" s="123" t="s">
        <v>6</v>
      </c>
      <c r="D50" s="123" t="s">
        <v>172</v>
      </c>
      <c r="E50" s="123" t="s">
        <v>169</v>
      </c>
      <c r="F50" s="123" t="s">
        <v>31</v>
      </c>
      <c r="G50" s="123" t="s">
        <v>20</v>
      </c>
      <c r="H50" s="114" t="s">
        <v>173</v>
      </c>
      <c r="I50" s="115"/>
      <c r="J50" s="123" t="s">
        <v>101</v>
      </c>
    </row>
    <row r="51" spans="1:11" x14ac:dyDescent="0.25">
      <c r="B51" s="124"/>
      <c r="C51" s="124"/>
      <c r="D51" s="124"/>
      <c r="E51" s="124"/>
      <c r="F51" s="124"/>
      <c r="G51" s="124"/>
      <c r="H51" s="48" t="s">
        <v>166</v>
      </c>
      <c r="I51" s="77" t="s">
        <v>167</v>
      </c>
      <c r="J51" s="124"/>
    </row>
    <row r="52" spans="1:11" x14ac:dyDescent="0.25">
      <c r="B52" s="110" t="s">
        <v>30</v>
      </c>
      <c r="C52" s="110" t="s">
        <v>31</v>
      </c>
      <c r="D52" s="110" t="s">
        <v>100</v>
      </c>
      <c r="E52" s="50" t="s">
        <v>17</v>
      </c>
      <c r="F52" s="78">
        <v>33</v>
      </c>
      <c r="G52" s="50" t="s">
        <v>27</v>
      </c>
      <c r="H52" s="79">
        <v>44629</v>
      </c>
      <c r="I52" s="80"/>
      <c r="J52" s="110" t="s">
        <v>29</v>
      </c>
    </row>
    <row r="53" spans="1:11" s="86" customFormat="1" x14ac:dyDescent="0.25">
      <c r="B53" s="111"/>
      <c r="C53" s="111"/>
      <c r="D53" s="111"/>
      <c r="E53" s="92" t="s">
        <v>170</v>
      </c>
      <c r="F53" s="78">
        <v>850</v>
      </c>
      <c r="G53" s="78" t="s">
        <v>35</v>
      </c>
      <c r="H53" s="91">
        <v>44736</v>
      </c>
      <c r="I53" s="81"/>
      <c r="J53" s="111"/>
      <c r="K53" s="33"/>
    </row>
    <row r="54" spans="1:11" x14ac:dyDescent="0.25">
      <c r="B54" s="112"/>
      <c r="C54" s="112"/>
      <c r="D54" s="112"/>
      <c r="E54" s="50" t="s">
        <v>171</v>
      </c>
      <c r="F54" s="78">
        <v>33</v>
      </c>
      <c r="G54" s="50" t="s">
        <v>27</v>
      </c>
      <c r="H54" s="79">
        <v>44629</v>
      </c>
      <c r="I54" s="80"/>
      <c r="J54" s="111"/>
    </row>
    <row r="55" spans="1:11" s="6" customFormat="1" x14ac:dyDescent="0.25">
      <c r="B55" s="107" t="s">
        <v>30</v>
      </c>
      <c r="C55" s="107" t="s">
        <v>31</v>
      </c>
      <c r="D55" s="107" t="s">
        <v>223</v>
      </c>
      <c r="E55" s="96" t="s">
        <v>17</v>
      </c>
      <c r="F55" s="78">
        <v>113</v>
      </c>
      <c r="G55" s="78" t="s">
        <v>27</v>
      </c>
      <c r="H55" s="91">
        <v>44774</v>
      </c>
      <c r="I55" s="91"/>
      <c r="J55" s="111"/>
    </row>
    <row r="56" spans="1:11" s="6" customFormat="1" x14ac:dyDescent="0.25">
      <c r="B56" s="108"/>
      <c r="C56" s="108"/>
      <c r="D56" s="108"/>
      <c r="E56" s="96" t="s">
        <v>174</v>
      </c>
      <c r="F56" s="82">
        <v>15700</v>
      </c>
      <c r="G56" s="78" t="s">
        <v>37</v>
      </c>
      <c r="H56" s="91">
        <v>44774</v>
      </c>
      <c r="I56" s="91"/>
      <c r="J56" s="111"/>
    </row>
    <row r="57" spans="1:11" s="6" customFormat="1" x14ac:dyDescent="0.25">
      <c r="B57" s="108"/>
      <c r="C57" s="108"/>
      <c r="D57" s="108"/>
      <c r="E57" s="126" t="s">
        <v>171</v>
      </c>
      <c r="F57" s="78">
        <v>48</v>
      </c>
      <c r="G57" s="78" t="s">
        <v>27</v>
      </c>
      <c r="H57" s="91">
        <v>44629</v>
      </c>
      <c r="I57" s="101">
        <v>44787</v>
      </c>
      <c r="J57" s="111"/>
    </row>
    <row r="58" spans="1:11" s="6" customFormat="1" x14ac:dyDescent="0.25">
      <c r="B58" s="109"/>
      <c r="C58" s="109"/>
      <c r="D58" s="109"/>
      <c r="E58" s="127"/>
      <c r="F58" s="100">
        <v>113</v>
      </c>
      <c r="G58" s="100" t="s">
        <v>27</v>
      </c>
      <c r="H58" s="101">
        <v>44788</v>
      </c>
      <c r="I58" s="79"/>
      <c r="J58" s="111"/>
    </row>
    <row r="59" spans="1:11" x14ac:dyDescent="0.25">
      <c r="B59" s="110" t="s">
        <v>30</v>
      </c>
      <c r="C59" s="110" t="s">
        <v>31</v>
      </c>
      <c r="D59" s="125" t="s">
        <v>102</v>
      </c>
      <c r="E59" s="97" t="s">
        <v>17</v>
      </c>
      <c r="F59" s="78">
        <v>33</v>
      </c>
      <c r="G59" s="97" t="s">
        <v>27</v>
      </c>
      <c r="H59" s="79">
        <v>44629</v>
      </c>
      <c r="I59" s="79"/>
      <c r="J59" s="111"/>
    </row>
    <row r="60" spans="1:11" x14ac:dyDescent="0.25">
      <c r="B60" s="111"/>
      <c r="C60" s="111"/>
      <c r="D60" s="125"/>
      <c r="E60" s="98" t="s">
        <v>175</v>
      </c>
      <c r="F60" s="82">
        <v>92000</v>
      </c>
      <c r="G60" s="78" t="s">
        <v>34</v>
      </c>
      <c r="H60" s="91">
        <v>44743</v>
      </c>
      <c r="I60" s="91"/>
      <c r="J60" s="111"/>
    </row>
    <row r="61" spans="1:11" x14ac:dyDescent="0.25">
      <c r="B61" s="112"/>
      <c r="C61" s="112"/>
      <c r="D61" s="125"/>
      <c r="E61" s="87" t="s">
        <v>171</v>
      </c>
      <c r="F61" s="87">
        <v>49</v>
      </c>
      <c r="G61" s="87" t="s">
        <v>27</v>
      </c>
      <c r="H61" s="88">
        <v>44629</v>
      </c>
      <c r="I61" s="88"/>
      <c r="J61" s="111"/>
    </row>
    <row r="62" spans="1:11" x14ac:dyDescent="0.25">
      <c r="B62" s="110" t="s">
        <v>30</v>
      </c>
      <c r="C62" s="110" t="s">
        <v>31</v>
      </c>
      <c r="D62" s="125" t="s">
        <v>103</v>
      </c>
      <c r="E62" s="87" t="s">
        <v>17</v>
      </c>
      <c r="F62" s="87">
        <v>33</v>
      </c>
      <c r="G62" s="87" t="s">
        <v>27</v>
      </c>
      <c r="H62" s="88">
        <v>44629</v>
      </c>
      <c r="I62" s="88"/>
      <c r="J62" s="111"/>
    </row>
    <row r="63" spans="1:11" x14ac:dyDescent="0.25">
      <c r="B63" s="111"/>
      <c r="C63" s="111"/>
      <c r="D63" s="125"/>
      <c r="E63" s="93" t="s">
        <v>175</v>
      </c>
      <c r="F63" s="90">
        <v>116000</v>
      </c>
      <c r="G63" s="87" t="s">
        <v>34</v>
      </c>
      <c r="H63" s="88">
        <v>44743</v>
      </c>
      <c r="I63" s="88"/>
      <c r="J63" s="111"/>
    </row>
    <row r="64" spans="1:11" x14ac:dyDescent="0.25">
      <c r="B64" s="112"/>
      <c r="C64" s="112"/>
      <c r="D64" s="125"/>
      <c r="E64" s="87" t="s">
        <v>171</v>
      </c>
      <c r="F64" s="87">
        <v>46</v>
      </c>
      <c r="G64" s="87" t="s">
        <v>27</v>
      </c>
      <c r="H64" s="88">
        <v>44629</v>
      </c>
      <c r="I64" s="88"/>
      <c r="J64" s="111"/>
    </row>
    <row r="65" spans="1:11" x14ac:dyDescent="0.25">
      <c r="B65" s="107" t="s">
        <v>30</v>
      </c>
      <c r="C65" s="107" t="s">
        <v>31</v>
      </c>
      <c r="D65" s="107" t="s">
        <v>105</v>
      </c>
      <c r="E65" s="93" t="s">
        <v>17</v>
      </c>
      <c r="F65" s="87">
        <v>30</v>
      </c>
      <c r="G65" s="87" t="s">
        <v>27</v>
      </c>
      <c r="H65" s="88">
        <v>44646</v>
      </c>
      <c r="I65" s="88"/>
      <c r="J65" s="111"/>
    </row>
    <row r="66" spans="1:11" x14ac:dyDescent="0.25">
      <c r="B66" s="108"/>
      <c r="C66" s="108"/>
      <c r="D66" s="108"/>
      <c r="E66" s="93" t="s">
        <v>176</v>
      </c>
      <c r="F66" s="87">
        <v>42</v>
      </c>
      <c r="G66" s="87" t="s">
        <v>41</v>
      </c>
      <c r="H66" s="88">
        <v>44646</v>
      </c>
      <c r="I66" s="88"/>
      <c r="J66" s="111"/>
      <c r="K66" s="10"/>
    </row>
    <row r="67" spans="1:11" x14ac:dyDescent="0.25">
      <c r="B67" s="109"/>
      <c r="C67" s="109"/>
      <c r="D67" s="109"/>
      <c r="E67" s="93" t="s">
        <v>171</v>
      </c>
      <c r="F67" s="87">
        <v>30</v>
      </c>
      <c r="G67" s="87" t="s">
        <v>27</v>
      </c>
      <c r="H67" s="88">
        <v>44646</v>
      </c>
      <c r="I67" s="88"/>
      <c r="J67" s="111"/>
    </row>
    <row r="68" spans="1:11" x14ac:dyDescent="0.25">
      <c r="B68" s="107" t="s">
        <v>30</v>
      </c>
      <c r="C68" s="107" t="s">
        <v>31</v>
      </c>
      <c r="D68" s="107" t="s">
        <v>106</v>
      </c>
      <c r="E68" s="83" t="s">
        <v>17</v>
      </c>
      <c r="F68" s="78">
        <v>125</v>
      </c>
      <c r="G68" s="9" t="s">
        <v>27</v>
      </c>
      <c r="H68" s="79">
        <v>44646</v>
      </c>
      <c r="I68" s="80"/>
      <c r="J68" s="111"/>
    </row>
    <row r="69" spans="1:11" x14ac:dyDescent="0.25">
      <c r="B69" s="108"/>
      <c r="C69" s="108"/>
      <c r="D69" s="108"/>
      <c r="E69" s="83" t="s">
        <v>177</v>
      </c>
      <c r="F69" s="82">
        <v>95</v>
      </c>
      <c r="G69" s="9" t="s">
        <v>39</v>
      </c>
      <c r="H69" s="79">
        <v>44646</v>
      </c>
      <c r="I69" s="80"/>
      <c r="J69" s="111"/>
      <c r="K69" s="10"/>
    </row>
    <row r="70" spans="1:11" x14ac:dyDescent="0.25">
      <c r="B70" s="109"/>
      <c r="C70" s="109"/>
      <c r="D70" s="109"/>
      <c r="E70" s="83" t="s">
        <v>171</v>
      </c>
      <c r="F70" s="78">
        <v>125</v>
      </c>
      <c r="G70" s="9" t="s">
        <v>27</v>
      </c>
      <c r="H70" s="79">
        <v>44646</v>
      </c>
      <c r="I70" s="80"/>
      <c r="J70" s="111"/>
    </row>
    <row r="71" spans="1:11" x14ac:dyDescent="0.25">
      <c r="B71" s="107" t="s">
        <v>30</v>
      </c>
      <c r="C71" s="107" t="s">
        <v>31</v>
      </c>
      <c r="D71" s="107" t="s">
        <v>107</v>
      </c>
      <c r="E71" s="83" t="s">
        <v>17</v>
      </c>
      <c r="F71" s="78">
        <v>125</v>
      </c>
      <c r="G71" s="9" t="s">
        <v>27</v>
      </c>
      <c r="H71" s="79">
        <v>44646</v>
      </c>
      <c r="I71" s="80"/>
      <c r="J71" s="111"/>
    </row>
    <row r="72" spans="1:11" x14ac:dyDescent="0.25">
      <c r="B72" s="108"/>
      <c r="C72" s="108"/>
      <c r="D72" s="108"/>
      <c r="E72" s="83" t="s">
        <v>178</v>
      </c>
      <c r="F72" s="82">
        <v>105</v>
      </c>
      <c r="G72" s="9" t="s">
        <v>91</v>
      </c>
      <c r="H72" s="79">
        <v>44646</v>
      </c>
      <c r="I72" s="80"/>
      <c r="J72" s="111"/>
      <c r="K72" s="10"/>
    </row>
    <row r="73" spans="1:11" x14ac:dyDescent="0.25">
      <c r="B73" s="109"/>
      <c r="C73" s="109"/>
      <c r="D73" s="109"/>
      <c r="E73" s="83" t="s">
        <v>171</v>
      </c>
      <c r="F73" s="78">
        <v>115</v>
      </c>
      <c r="G73" s="9" t="s">
        <v>27</v>
      </c>
      <c r="H73" s="79">
        <v>44646</v>
      </c>
      <c r="I73" s="80"/>
      <c r="J73" s="111"/>
    </row>
    <row r="74" spans="1:11" s="6" customFormat="1" x14ac:dyDescent="0.25">
      <c r="B74" s="107" t="s">
        <v>30</v>
      </c>
      <c r="C74" s="107" t="s">
        <v>31</v>
      </c>
      <c r="D74" s="107" t="s">
        <v>133</v>
      </c>
      <c r="E74" s="83" t="s">
        <v>17</v>
      </c>
      <c r="F74" s="78">
        <v>30</v>
      </c>
      <c r="G74" s="9" t="s">
        <v>27</v>
      </c>
      <c r="H74" s="79">
        <v>44646</v>
      </c>
      <c r="I74" s="80"/>
      <c r="J74" s="111"/>
    </row>
    <row r="75" spans="1:11" s="6" customFormat="1" x14ac:dyDescent="0.25">
      <c r="B75" s="108"/>
      <c r="C75" s="108"/>
      <c r="D75" s="108"/>
      <c r="E75" s="50" t="s">
        <v>179</v>
      </c>
      <c r="F75" s="82">
        <v>1000</v>
      </c>
      <c r="G75" s="9" t="s">
        <v>129</v>
      </c>
      <c r="H75" s="79">
        <v>44629</v>
      </c>
      <c r="I75" s="79"/>
      <c r="J75" s="111"/>
    </row>
    <row r="76" spans="1:11" s="6" customFormat="1" x14ac:dyDescent="0.25">
      <c r="B76" s="109"/>
      <c r="C76" s="109"/>
      <c r="D76" s="109"/>
      <c r="E76" s="83" t="s">
        <v>171</v>
      </c>
      <c r="F76" s="78">
        <v>30</v>
      </c>
      <c r="G76" s="9" t="s">
        <v>27</v>
      </c>
      <c r="H76" s="79">
        <v>44646</v>
      </c>
      <c r="I76" s="80"/>
      <c r="J76" s="111"/>
    </row>
    <row r="77" spans="1:11" s="6" customFormat="1" ht="29.65" customHeight="1" x14ac:dyDescent="0.25">
      <c r="B77" s="128" t="s">
        <v>30</v>
      </c>
      <c r="C77" s="128" t="s">
        <v>31</v>
      </c>
      <c r="D77" s="128" t="s">
        <v>135</v>
      </c>
      <c r="E77" s="93" t="s">
        <v>17</v>
      </c>
      <c r="F77" s="87">
        <v>15</v>
      </c>
      <c r="G77" s="87" t="s">
        <v>27</v>
      </c>
      <c r="H77" s="89" t="s">
        <v>222</v>
      </c>
      <c r="I77" s="80"/>
      <c r="J77" s="111"/>
    </row>
    <row r="78" spans="1:11" s="6" customFormat="1" ht="29.65" customHeight="1" x14ac:dyDescent="0.25">
      <c r="B78" s="129"/>
      <c r="C78" s="129"/>
      <c r="D78" s="129"/>
      <c r="E78" s="93" t="s">
        <v>180</v>
      </c>
      <c r="F78" s="90">
        <v>20</v>
      </c>
      <c r="G78" s="87" t="s">
        <v>130</v>
      </c>
      <c r="H78" s="89" t="s">
        <v>222</v>
      </c>
      <c r="I78" s="79"/>
      <c r="J78" s="111"/>
    </row>
    <row r="79" spans="1:11" s="6" customFormat="1" x14ac:dyDescent="0.25">
      <c r="B79" s="130"/>
      <c r="C79" s="130"/>
      <c r="D79" s="130"/>
      <c r="E79" s="93" t="s">
        <v>171</v>
      </c>
      <c r="F79" s="87">
        <v>30</v>
      </c>
      <c r="G79" s="87" t="s">
        <v>27</v>
      </c>
      <c r="H79" s="88">
        <v>44646</v>
      </c>
      <c r="I79" s="80"/>
      <c r="J79" s="111"/>
    </row>
    <row r="80" spans="1:11" ht="30" x14ac:dyDescent="0.25">
      <c r="A80" s="40"/>
      <c r="B80" s="9" t="s">
        <v>30</v>
      </c>
      <c r="C80" s="9" t="s">
        <v>31</v>
      </c>
      <c r="D80" s="9" t="s">
        <v>168</v>
      </c>
      <c r="E80" s="94" t="s">
        <v>17</v>
      </c>
      <c r="F80" s="78">
        <v>125</v>
      </c>
      <c r="G80" s="9" t="s">
        <v>27</v>
      </c>
      <c r="H80" s="79">
        <v>44646</v>
      </c>
      <c r="I80" s="80"/>
      <c r="J80" s="112"/>
    </row>
    <row r="81" spans="1:12" x14ac:dyDescent="0.25">
      <c r="A81" s="40" t="s">
        <v>43</v>
      </c>
      <c r="B81" s="113" t="s">
        <v>44</v>
      </c>
      <c r="C81" s="113"/>
      <c r="D81" s="113"/>
      <c r="E81" s="113"/>
      <c r="F81" s="113"/>
      <c r="G81" s="113"/>
    </row>
    <row r="82" spans="1:12" x14ac:dyDescent="0.25">
      <c r="B82" s="84" t="s">
        <v>45</v>
      </c>
      <c r="C82" s="85"/>
      <c r="D82" s="85"/>
      <c r="E82" s="85"/>
      <c r="F82" s="85"/>
      <c r="G82" s="85"/>
    </row>
    <row r="83" spans="1:12" ht="35.450000000000003" customHeight="1" x14ac:dyDescent="0.25">
      <c r="B83" s="116" t="s">
        <v>6</v>
      </c>
      <c r="C83" s="116" t="s">
        <v>46</v>
      </c>
      <c r="D83" s="116" t="s">
        <v>228</v>
      </c>
      <c r="E83" s="116" t="s">
        <v>229</v>
      </c>
      <c r="F83" s="116" t="s">
        <v>47</v>
      </c>
      <c r="G83" s="118" t="s">
        <v>48</v>
      </c>
      <c r="H83" s="116" t="s">
        <v>49</v>
      </c>
      <c r="I83" s="116" t="s">
        <v>50</v>
      </c>
      <c r="J83" s="116" t="s">
        <v>20</v>
      </c>
      <c r="K83" s="114" t="s">
        <v>173</v>
      </c>
      <c r="L83" s="115"/>
    </row>
    <row r="84" spans="1:12" x14ac:dyDescent="0.25">
      <c r="B84" s="117"/>
      <c r="C84" s="117"/>
      <c r="D84" s="117"/>
      <c r="E84" s="117"/>
      <c r="F84" s="117"/>
      <c r="G84" s="119"/>
      <c r="H84" s="117"/>
      <c r="I84" s="117"/>
      <c r="J84" s="117"/>
      <c r="K84" s="48" t="s">
        <v>166</v>
      </c>
      <c r="L84" s="77" t="s">
        <v>167</v>
      </c>
    </row>
    <row r="85" spans="1:12" ht="27" customHeight="1" x14ac:dyDescent="0.25">
      <c r="B85" s="9" t="s">
        <v>51</v>
      </c>
      <c r="C85" s="8" t="s">
        <v>52</v>
      </c>
      <c r="D85" s="9" t="s">
        <v>53</v>
      </c>
      <c r="E85" s="97"/>
      <c r="F85" s="9" t="s">
        <v>54</v>
      </c>
      <c r="G85" s="9" t="s">
        <v>55</v>
      </c>
      <c r="H85" s="9">
        <v>20</v>
      </c>
      <c r="I85" s="9">
        <v>10</v>
      </c>
      <c r="J85" s="8" t="s">
        <v>27</v>
      </c>
      <c r="K85" s="102"/>
      <c r="L85" s="102"/>
    </row>
    <row r="86" spans="1:12" ht="27" customHeight="1" x14ac:dyDescent="0.25">
      <c r="B86" s="9" t="s">
        <v>51</v>
      </c>
      <c r="C86" s="8" t="s">
        <v>52</v>
      </c>
      <c r="D86" s="9" t="s">
        <v>56</v>
      </c>
      <c r="E86" s="97"/>
      <c r="F86" s="9" t="s">
        <v>54</v>
      </c>
      <c r="G86" s="9" t="s">
        <v>55</v>
      </c>
      <c r="H86" s="9">
        <v>25</v>
      </c>
      <c r="I86" s="9">
        <v>12.5</v>
      </c>
      <c r="J86" s="8" t="s">
        <v>27</v>
      </c>
      <c r="K86" s="102"/>
      <c r="L86" s="102"/>
    </row>
    <row r="87" spans="1:12" ht="27" customHeight="1" x14ac:dyDescent="0.25">
      <c r="B87" s="9" t="s">
        <v>51</v>
      </c>
      <c r="C87" s="8" t="s">
        <v>52</v>
      </c>
      <c r="D87" s="9" t="s">
        <v>57</v>
      </c>
      <c r="E87" s="97"/>
      <c r="F87" s="9" t="s">
        <v>54</v>
      </c>
      <c r="G87" s="9" t="s">
        <v>55</v>
      </c>
      <c r="H87" s="9">
        <v>18</v>
      </c>
      <c r="I87" s="9">
        <v>9</v>
      </c>
      <c r="J87" s="8" t="s">
        <v>27</v>
      </c>
      <c r="K87" s="102"/>
      <c r="L87" s="102"/>
    </row>
    <row r="88" spans="1:12" ht="27" customHeight="1" x14ac:dyDescent="0.25">
      <c r="B88" s="9" t="s">
        <v>51</v>
      </c>
      <c r="C88" s="8" t="s">
        <v>52</v>
      </c>
      <c r="D88" s="9" t="s">
        <v>58</v>
      </c>
      <c r="E88" s="97"/>
      <c r="F88" s="9" t="s">
        <v>54</v>
      </c>
      <c r="G88" s="9" t="s">
        <v>55</v>
      </c>
      <c r="H88" s="9">
        <v>14</v>
      </c>
      <c r="I88" s="9">
        <v>7</v>
      </c>
      <c r="J88" s="8" t="s">
        <v>27</v>
      </c>
      <c r="K88" s="102"/>
      <c r="L88" s="102"/>
    </row>
    <row r="89" spans="1:12" ht="27" customHeight="1" x14ac:dyDescent="0.25">
      <c r="B89" s="9" t="s">
        <v>59</v>
      </c>
      <c r="C89" s="8" t="s">
        <v>52</v>
      </c>
      <c r="D89" s="9" t="s">
        <v>60</v>
      </c>
      <c r="E89" s="97"/>
      <c r="F89" s="9" t="s">
        <v>61</v>
      </c>
      <c r="G89" s="9" t="s">
        <v>62</v>
      </c>
      <c r="H89" s="9">
        <v>2</v>
      </c>
      <c r="I89" s="9">
        <v>1</v>
      </c>
      <c r="J89" s="8" t="s">
        <v>27</v>
      </c>
      <c r="K89" s="102"/>
      <c r="L89" s="102"/>
    </row>
    <row r="90" spans="1:12" ht="27" customHeight="1" x14ac:dyDescent="0.25">
      <c r="B90" s="9" t="s">
        <v>63</v>
      </c>
      <c r="C90" s="8" t="s">
        <v>64</v>
      </c>
      <c r="D90" s="9" t="s">
        <v>65</v>
      </c>
      <c r="E90" s="97"/>
      <c r="F90" s="9" t="s">
        <v>66</v>
      </c>
      <c r="G90" s="9" t="s">
        <v>67</v>
      </c>
      <c r="H90" s="106">
        <v>28000</v>
      </c>
      <c r="I90" s="106">
        <v>28000</v>
      </c>
      <c r="J90" s="8" t="s">
        <v>34</v>
      </c>
      <c r="K90" s="102"/>
      <c r="L90" s="102"/>
    </row>
    <row r="91" spans="1:12" s="6" customFormat="1" ht="27" customHeight="1" x14ac:dyDescent="0.25">
      <c r="B91" s="9" t="s">
        <v>68</v>
      </c>
      <c r="C91" s="8" t="s">
        <v>69</v>
      </c>
      <c r="D91" s="9" t="s">
        <v>70</v>
      </c>
      <c r="E91" s="97"/>
      <c r="F91" s="9" t="s">
        <v>151</v>
      </c>
      <c r="G91" s="9" t="s">
        <v>71</v>
      </c>
      <c r="H91" s="9">
        <v>320</v>
      </c>
      <c r="I91" s="9">
        <v>320</v>
      </c>
      <c r="J91" s="8" t="s">
        <v>37</v>
      </c>
      <c r="K91" s="103"/>
      <c r="L91" s="103"/>
    </row>
    <row r="92" spans="1:12" s="6" customFormat="1" ht="27" customHeight="1" x14ac:dyDescent="0.25">
      <c r="B92" s="9" t="s">
        <v>68</v>
      </c>
      <c r="C92" s="8" t="s">
        <v>69</v>
      </c>
      <c r="D92" s="9" t="s">
        <v>72</v>
      </c>
      <c r="E92" s="97"/>
      <c r="F92" s="9" t="s">
        <v>151</v>
      </c>
      <c r="G92" s="9" t="s">
        <v>71</v>
      </c>
      <c r="H92" s="9">
        <v>530</v>
      </c>
      <c r="I92" s="9">
        <v>530</v>
      </c>
      <c r="J92" s="8" t="s">
        <v>37</v>
      </c>
      <c r="K92" s="103"/>
      <c r="L92" s="103"/>
    </row>
    <row r="93" spans="1:12" s="6" customFormat="1" ht="27" customHeight="1" x14ac:dyDescent="0.25">
      <c r="B93" s="9" t="s">
        <v>73</v>
      </c>
      <c r="C93" s="8" t="s">
        <v>69</v>
      </c>
      <c r="D93" s="9" t="s">
        <v>70</v>
      </c>
      <c r="E93" s="97"/>
      <c r="F93" s="9" t="s">
        <v>152</v>
      </c>
      <c r="G93" s="9" t="s">
        <v>74</v>
      </c>
      <c r="H93" s="9">
        <v>2780</v>
      </c>
      <c r="I93" s="9">
        <v>1390</v>
      </c>
      <c r="J93" s="9" t="s">
        <v>37</v>
      </c>
      <c r="K93" s="103"/>
      <c r="L93" s="103"/>
    </row>
    <row r="94" spans="1:12" s="6" customFormat="1" ht="27" customHeight="1" x14ac:dyDescent="0.25">
      <c r="B94" s="9" t="s">
        <v>73</v>
      </c>
      <c r="C94" s="8" t="s">
        <v>69</v>
      </c>
      <c r="D94" s="9" t="s">
        <v>72</v>
      </c>
      <c r="E94" s="97"/>
      <c r="F94" s="9" t="s">
        <v>152</v>
      </c>
      <c r="G94" s="9" t="s">
        <v>74</v>
      </c>
      <c r="H94" s="9">
        <v>2130</v>
      </c>
      <c r="I94" s="9">
        <v>1070</v>
      </c>
      <c r="J94" s="9" t="s">
        <v>37</v>
      </c>
      <c r="K94" s="103"/>
      <c r="L94" s="103"/>
    </row>
    <row r="95" spans="1:12" s="6" customFormat="1" ht="27" customHeight="1" x14ac:dyDescent="0.25">
      <c r="B95" s="9" t="s">
        <v>75</v>
      </c>
      <c r="C95" s="8" t="s">
        <v>69</v>
      </c>
      <c r="D95" s="9" t="s">
        <v>76</v>
      </c>
      <c r="E95" s="97"/>
      <c r="F95" s="9" t="s">
        <v>153</v>
      </c>
      <c r="G95" s="9" t="s">
        <v>77</v>
      </c>
      <c r="H95" s="9">
        <v>1000</v>
      </c>
      <c r="I95" s="9">
        <v>1000</v>
      </c>
      <c r="J95" s="9" t="s">
        <v>37</v>
      </c>
      <c r="K95" s="103"/>
      <c r="L95" s="103"/>
    </row>
    <row r="96" spans="1:12" s="6" customFormat="1" ht="27" customHeight="1" x14ac:dyDescent="0.25">
      <c r="B96" s="9" t="s">
        <v>78</v>
      </c>
      <c r="C96" s="8" t="s">
        <v>78</v>
      </c>
      <c r="D96" s="9" t="s">
        <v>79</v>
      </c>
      <c r="E96" s="97"/>
      <c r="F96" s="9" t="s">
        <v>154</v>
      </c>
      <c r="G96" s="9" t="s">
        <v>80</v>
      </c>
      <c r="H96" s="9">
        <v>500</v>
      </c>
      <c r="I96" s="9">
        <v>500</v>
      </c>
      <c r="J96" s="8" t="s">
        <v>35</v>
      </c>
      <c r="K96" s="103"/>
      <c r="L96" s="103"/>
    </row>
    <row r="97" spans="2:12" s="6" customFormat="1" ht="27" customHeight="1" x14ac:dyDescent="0.25">
      <c r="B97" s="9" t="s">
        <v>82</v>
      </c>
      <c r="C97" s="8" t="s">
        <v>82</v>
      </c>
      <c r="D97" s="9" t="s">
        <v>83</v>
      </c>
      <c r="E97" s="97"/>
      <c r="F97" s="9" t="s">
        <v>155</v>
      </c>
      <c r="G97" s="9" t="s">
        <v>125</v>
      </c>
      <c r="H97" s="9">
        <v>60</v>
      </c>
      <c r="I97" s="9">
        <v>60</v>
      </c>
      <c r="J97" s="9" t="s">
        <v>41</v>
      </c>
      <c r="K97" s="103"/>
      <c r="L97" s="103"/>
    </row>
    <row r="98" spans="2:12" s="6" customFormat="1" ht="45" x14ac:dyDescent="0.25">
      <c r="B98" s="9" t="s">
        <v>84</v>
      </c>
      <c r="C98" s="8" t="s">
        <v>82</v>
      </c>
      <c r="D98" s="9" t="s">
        <v>111</v>
      </c>
      <c r="E98" s="97"/>
      <c r="F98" s="9" t="s">
        <v>230</v>
      </c>
      <c r="G98" s="9" t="s">
        <v>117</v>
      </c>
      <c r="H98" s="9">
        <v>31</v>
      </c>
      <c r="I98" s="9">
        <v>31</v>
      </c>
      <c r="J98" s="9" t="s">
        <v>41</v>
      </c>
      <c r="K98" s="103"/>
      <c r="L98" s="103"/>
    </row>
    <row r="99" spans="2:12" s="6" customFormat="1" ht="45" x14ac:dyDescent="0.25">
      <c r="B99" s="9" t="s">
        <v>84</v>
      </c>
      <c r="C99" s="8" t="s">
        <v>82</v>
      </c>
      <c r="D99" s="9"/>
      <c r="E99" s="97" t="s">
        <v>111</v>
      </c>
      <c r="F99" s="9" t="s">
        <v>230</v>
      </c>
      <c r="G99" s="9" t="s">
        <v>118</v>
      </c>
      <c r="H99" s="9">
        <v>31</v>
      </c>
      <c r="I99" s="9">
        <v>31</v>
      </c>
      <c r="J99" s="9" t="s">
        <v>41</v>
      </c>
      <c r="K99" s="103"/>
      <c r="L99" s="103"/>
    </row>
    <row r="100" spans="2:12" s="6" customFormat="1" ht="27" customHeight="1" x14ac:dyDescent="0.25">
      <c r="B100" s="107" t="s">
        <v>84</v>
      </c>
      <c r="C100" s="131" t="s">
        <v>82</v>
      </c>
      <c r="D100" s="107" t="s">
        <v>110</v>
      </c>
      <c r="E100" s="107"/>
      <c r="F100" s="107" t="s">
        <v>230</v>
      </c>
      <c r="G100" s="107" t="s">
        <v>117</v>
      </c>
      <c r="H100" s="9">
        <v>21</v>
      </c>
      <c r="I100" s="9">
        <v>21</v>
      </c>
      <c r="J100" s="9" t="s">
        <v>41</v>
      </c>
      <c r="K100" s="103"/>
      <c r="L100" s="104">
        <v>44787</v>
      </c>
    </row>
    <row r="101" spans="2:12" s="6" customFormat="1" ht="27" customHeight="1" x14ac:dyDescent="0.25">
      <c r="B101" s="109"/>
      <c r="C101" s="132"/>
      <c r="D101" s="109"/>
      <c r="E101" s="109"/>
      <c r="F101" s="109"/>
      <c r="G101" s="109"/>
      <c r="H101" s="100">
        <v>24.28</v>
      </c>
      <c r="I101" s="100">
        <v>24.28</v>
      </c>
      <c r="J101" s="100" t="s">
        <v>41</v>
      </c>
      <c r="K101" s="104">
        <v>44788</v>
      </c>
      <c r="L101" s="103"/>
    </row>
    <row r="102" spans="2:12" s="6" customFormat="1" ht="27" customHeight="1" x14ac:dyDescent="0.25">
      <c r="B102" s="107" t="s">
        <v>84</v>
      </c>
      <c r="C102" s="131" t="s">
        <v>82</v>
      </c>
      <c r="D102" s="107"/>
      <c r="E102" s="107" t="s">
        <v>110</v>
      </c>
      <c r="F102" s="107" t="s">
        <v>230</v>
      </c>
      <c r="G102" s="107" t="s">
        <v>232</v>
      </c>
      <c r="H102" s="9">
        <v>21</v>
      </c>
      <c r="I102" s="9">
        <v>21</v>
      </c>
      <c r="J102" s="97" t="s">
        <v>41</v>
      </c>
      <c r="K102" s="103"/>
      <c r="L102" s="104">
        <v>44787</v>
      </c>
    </row>
    <row r="103" spans="2:12" s="6" customFormat="1" ht="27" customHeight="1" x14ac:dyDescent="0.25">
      <c r="B103" s="109"/>
      <c r="C103" s="132"/>
      <c r="D103" s="109"/>
      <c r="E103" s="109"/>
      <c r="F103" s="109"/>
      <c r="G103" s="109"/>
      <c r="H103" s="100">
        <v>24.28</v>
      </c>
      <c r="I103" s="100">
        <v>24.28</v>
      </c>
      <c r="J103" s="100" t="s">
        <v>41</v>
      </c>
      <c r="K103" s="104">
        <v>44788</v>
      </c>
      <c r="L103" s="103"/>
    </row>
    <row r="104" spans="2:12" s="6" customFormat="1" ht="27" customHeight="1" x14ac:dyDescent="0.25">
      <c r="B104" s="131" t="s">
        <v>109</v>
      </c>
      <c r="C104" s="131" t="s">
        <v>82</v>
      </c>
      <c r="D104" s="131" t="s">
        <v>110</v>
      </c>
      <c r="E104" s="107"/>
      <c r="F104" s="107" t="s">
        <v>156</v>
      </c>
      <c r="G104" s="107" t="s">
        <v>119</v>
      </c>
      <c r="H104" s="8">
        <v>4</v>
      </c>
      <c r="I104" s="8">
        <v>4</v>
      </c>
      <c r="J104" s="8" t="s">
        <v>41</v>
      </c>
      <c r="K104" s="103"/>
      <c r="L104" s="104">
        <v>44787</v>
      </c>
    </row>
    <row r="105" spans="2:12" s="6" customFormat="1" ht="27" customHeight="1" x14ac:dyDescent="0.25">
      <c r="B105" s="132"/>
      <c r="C105" s="132"/>
      <c r="D105" s="132"/>
      <c r="E105" s="109"/>
      <c r="F105" s="109"/>
      <c r="G105" s="109"/>
      <c r="H105" s="105">
        <v>16.48</v>
      </c>
      <c r="I105" s="105">
        <v>16.48</v>
      </c>
      <c r="J105" s="105" t="s">
        <v>41</v>
      </c>
      <c r="K105" s="104">
        <v>44788</v>
      </c>
      <c r="L105" s="103"/>
    </row>
    <row r="106" spans="2:12" s="6" customFormat="1" ht="27" customHeight="1" x14ac:dyDescent="0.25">
      <c r="B106" s="8" t="s">
        <v>108</v>
      </c>
      <c r="C106" s="8" t="s">
        <v>108</v>
      </c>
      <c r="D106" s="8" t="s">
        <v>83</v>
      </c>
      <c r="E106" s="97"/>
      <c r="F106" s="9" t="s">
        <v>157</v>
      </c>
      <c r="G106" s="9" t="s">
        <v>120</v>
      </c>
      <c r="H106" s="8">
        <v>9.9</v>
      </c>
      <c r="I106" s="8">
        <v>9.9</v>
      </c>
      <c r="J106" s="8" t="s">
        <v>91</v>
      </c>
      <c r="K106" s="103"/>
      <c r="L106" s="103"/>
    </row>
    <row r="107" spans="2:12" s="6" customFormat="1" ht="27" customHeight="1" x14ac:dyDescent="0.25">
      <c r="B107" s="8" t="s">
        <v>114</v>
      </c>
      <c r="C107" s="8" t="s">
        <v>108</v>
      </c>
      <c r="D107" s="8" t="s">
        <v>83</v>
      </c>
      <c r="E107" s="97"/>
      <c r="F107" s="9" t="s">
        <v>158</v>
      </c>
      <c r="G107" s="9" t="s">
        <v>121</v>
      </c>
      <c r="H107" s="8">
        <v>58.2</v>
      </c>
      <c r="I107" s="8">
        <v>58.2</v>
      </c>
      <c r="J107" s="8" t="s">
        <v>91</v>
      </c>
      <c r="K107" s="103"/>
      <c r="L107" s="103"/>
    </row>
    <row r="108" spans="2:12" s="6" customFormat="1" ht="27" customHeight="1" x14ac:dyDescent="0.25">
      <c r="B108" s="8" t="s">
        <v>115</v>
      </c>
      <c r="C108" s="8" t="s">
        <v>108</v>
      </c>
      <c r="D108" s="8" t="s">
        <v>83</v>
      </c>
      <c r="E108" s="97"/>
      <c r="F108" s="9" t="s">
        <v>231</v>
      </c>
      <c r="G108" s="9" t="s">
        <v>122</v>
      </c>
      <c r="H108" s="8">
        <v>35.5</v>
      </c>
      <c r="I108" s="8">
        <v>35.5</v>
      </c>
      <c r="J108" s="8" t="s">
        <v>91</v>
      </c>
      <c r="K108" s="103"/>
      <c r="L108" s="103"/>
    </row>
    <row r="109" spans="2:12" s="6" customFormat="1" ht="27" customHeight="1" x14ac:dyDescent="0.25">
      <c r="B109" s="8" t="s">
        <v>81</v>
      </c>
      <c r="C109" s="8" t="s">
        <v>81</v>
      </c>
      <c r="D109" s="8" t="s">
        <v>83</v>
      </c>
      <c r="E109" s="97"/>
      <c r="F109" s="9" t="s">
        <v>159</v>
      </c>
      <c r="G109" s="9" t="s">
        <v>123</v>
      </c>
      <c r="H109" s="8">
        <v>84</v>
      </c>
      <c r="I109" s="8">
        <v>84</v>
      </c>
      <c r="J109" s="8" t="s">
        <v>39</v>
      </c>
      <c r="K109" s="103"/>
      <c r="L109" s="103"/>
    </row>
    <row r="110" spans="2:12" s="6" customFormat="1" ht="27" customHeight="1" x14ac:dyDescent="0.25">
      <c r="B110" s="95" t="s">
        <v>116</v>
      </c>
      <c r="C110" s="95" t="s">
        <v>81</v>
      </c>
      <c r="D110" s="95" t="s">
        <v>224</v>
      </c>
      <c r="E110" s="97"/>
      <c r="F110" s="78" t="s">
        <v>160</v>
      </c>
      <c r="G110" s="78" t="s">
        <v>124</v>
      </c>
      <c r="H110" s="95">
        <v>56</v>
      </c>
      <c r="I110" s="95">
        <v>56</v>
      </c>
      <c r="J110" s="95" t="s">
        <v>39</v>
      </c>
      <c r="K110" s="103"/>
      <c r="L110" s="103"/>
    </row>
    <row r="111" spans="2:12" s="6" customFormat="1" ht="27" customHeight="1" x14ac:dyDescent="0.25">
      <c r="B111" s="95" t="s">
        <v>116</v>
      </c>
      <c r="C111" s="95" t="s">
        <v>81</v>
      </c>
      <c r="D111" s="95" t="s">
        <v>225</v>
      </c>
      <c r="E111" s="97"/>
      <c r="F111" s="78" t="s">
        <v>160</v>
      </c>
      <c r="G111" s="78" t="s">
        <v>124</v>
      </c>
      <c r="H111" s="95">
        <v>17.100000000000001</v>
      </c>
      <c r="I111" s="95">
        <v>17.100000000000001</v>
      </c>
      <c r="J111" s="95" t="s">
        <v>39</v>
      </c>
      <c r="K111" s="103"/>
      <c r="L111" s="103"/>
    </row>
    <row r="112" spans="2:12" s="6" customFormat="1" ht="27" customHeight="1" x14ac:dyDescent="0.25">
      <c r="B112" s="95" t="s">
        <v>138</v>
      </c>
      <c r="C112" s="95" t="s">
        <v>136</v>
      </c>
      <c r="D112" s="95" t="s">
        <v>142</v>
      </c>
      <c r="E112" s="97"/>
      <c r="F112" s="78" t="s">
        <v>161</v>
      </c>
      <c r="G112" s="78" t="s">
        <v>137</v>
      </c>
      <c r="H112" s="95">
        <v>11</v>
      </c>
      <c r="I112" s="95">
        <v>11</v>
      </c>
      <c r="J112" s="95" t="s">
        <v>130</v>
      </c>
      <c r="K112" s="103"/>
      <c r="L112" s="103"/>
    </row>
    <row r="113" spans="2:12" s="6" customFormat="1" ht="27" customHeight="1" x14ac:dyDescent="0.25">
      <c r="B113" s="95" t="s">
        <v>140</v>
      </c>
      <c r="C113" s="95" t="s">
        <v>136</v>
      </c>
      <c r="D113" s="95" t="s">
        <v>142</v>
      </c>
      <c r="E113" s="97"/>
      <c r="F113" s="78" t="s">
        <v>162</v>
      </c>
      <c r="G113" s="78" t="s">
        <v>139</v>
      </c>
      <c r="H113" s="95">
        <v>6.2</v>
      </c>
      <c r="I113" s="95">
        <v>6.2</v>
      </c>
      <c r="J113" s="95" t="s">
        <v>130</v>
      </c>
      <c r="K113" s="103"/>
      <c r="L113" s="103"/>
    </row>
    <row r="114" spans="2:12" s="6" customFormat="1" ht="27" customHeight="1" x14ac:dyDescent="0.25">
      <c r="B114" s="95" t="s">
        <v>136</v>
      </c>
      <c r="C114" s="95" t="s">
        <v>136</v>
      </c>
      <c r="D114" s="95" t="s">
        <v>142</v>
      </c>
      <c r="E114" s="97"/>
      <c r="F114" s="78" t="s">
        <v>163</v>
      </c>
      <c r="G114" s="78" t="s">
        <v>141</v>
      </c>
      <c r="H114" s="95">
        <v>35.5</v>
      </c>
      <c r="I114" s="95">
        <v>35.5</v>
      </c>
      <c r="J114" s="95" t="s">
        <v>130</v>
      </c>
      <c r="K114" s="103"/>
      <c r="L114" s="103"/>
    </row>
    <row r="115" spans="2:12" s="6" customFormat="1" ht="27" customHeight="1" x14ac:dyDescent="0.25">
      <c r="B115" s="95" t="s">
        <v>143</v>
      </c>
      <c r="C115" s="95" t="s">
        <v>134</v>
      </c>
      <c r="D115" s="95" t="s">
        <v>83</v>
      </c>
      <c r="E115" s="95"/>
      <c r="F115" s="78" t="s">
        <v>226</v>
      </c>
      <c r="G115" s="78" t="s">
        <v>146</v>
      </c>
      <c r="H115" s="95">
        <v>35</v>
      </c>
      <c r="I115" s="95">
        <v>35</v>
      </c>
      <c r="J115" s="95" t="s">
        <v>129</v>
      </c>
      <c r="K115" s="103"/>
      <c r="L115" s="103"/>
    </row>
    <row r="116" spans="2:12" s="6" customFormat="1" ht="27" customHeight="1" x14ac:dyDescent="0.25">
      <c r="B116" s="95" t="s">
        <v>143</v>
      </c>
      <c r="C116" s="95" t="s">
        <v>134</v>
      </c>
      <c r="D116" s="95"/>
      <c r="E116" s="95" t="s">
        <v>83</v>
      </c>
      <c r="F116" s="78" t="s">
        <v>226</v>
      </c>
      <c r="G116" s="78" t="s">
        <v>146</v>
      </c>
      <c r="H116" s="95">
        <v>35</v>
      </c>
      <c r="I116" s="95">
        <v>35</v>
      </c>
      <c r="J116" s="95" t="s">
        <v>129</v>
      </c>
      <c r="K116" s="103"/>
      <c r="L116" s="103"/>
    </row>
    <row r="117" spans="2:12" s="6" customFormat="1" ht="27" customHeight="1" x14ac:dyDescent="0.25">
      <c r="B117" s="95" t="s">
        <v>144</v>
      </c>
      <c r="C117" s="95" t="s">
        <v>134</v>
      </c>
      <c r="D117" s="95" t="s">
        <v>83</v>
      </c>
      <c r="E117" s="95"/>
      <c r="F117" s="78" t="s">
        <v>165</v>
      </c>
      <c r="G117" s="78" t="s">
        <v>147</v>
      </c>
      <c r="H117" s="95">
        <v>15</v>
      </c>
      <c r="I117" s="95">
        <v>15</v>
      </c>
      <c r="J117" s="95" t="s">
        <v>129</v>
      </c>
      <c r="K117" s="103"/>
      <c r="L117" s="103"/>
    </row>
    <row r="118" spans="2:12" s="6" customFormat="1" ht="27" customHeight="1" x14ac:dyDescent="0.25">
      <c r="B118" s="95" t="s">
        <v>144</v>
      </c>
      <c r="C118" s="95" t="s">
        <v>134</v>
      </c>
      <c r="D118" s="95"/>
      <c r="E118" s="95" t="s">
        <v>83</v>
      </c>
      <c r="F118" s="78" t="s">
        <v>165</v>
      </c>
      <c r="G118" s="78" t="s">
        <v>147</v>
      </c>
      <c r="H118" s="95">
        <v>15</v>
      </c>
      <c r="I118" s="95">
        <v>15</v>
      </c>
      <c r="J118" s="95" t="s">
        <v>129</v>
      </c>
      <c r="K118" s="103"/>
      <c r="L118" s="103"/>
    </row>
    <row r="119" spans="2:12" s="6" customFormat="1" ht="27" customHeight="1" x14ac:dyDescent="0.25">
      <c r="B119" s="8" t="s">
        <v>145</v>
      </c>
      <c r="C119" s="8" t="s">
        <v>134</v>
      </c>
      <c r="D119" s="8" t="s">
        <v>83</v>
      </c>
      <c r="E119" s="97"/>
      <c r="F119" s="9" t="s">
        <v>164</v>
      </c>
      <c r="G119" s="9" t="s">
        <v>148</v>
      </c>
      <c r="H119" s="8">
        <v>720</v>
      </c>
      <c r="I119" s="8">
        <v>720</v>
      </c>
      <c r="J119" s="8" t="s">
        <v>129</v>
      </c>
      <c r="K119" s="103"/>
      <c r="L119" s="103"/>
    </row>
  </sheetData>
  <mergeCells count="72">
    <mergeCell ref="G104:G105"/>
    <mergeCell ref="B102:B103"/>
    <mergeCell ref="C102:C103"/>
    <mergeCell ref="D102:D103"/>
    <mergeCell ref="E102:E103"/>
    <mergeCell ref="B104:B105"/>
    <mergeCell ref="C104:C105"/>
    <mergeCell ref="D104:D105"/>
    <mergeCell ref="E104:E105"/>
    <mergeCell ref="F104:F105"/>
    <mergeCell ref="F100:F101"/>
    <mergeCell ref="F102:F103"/>
    <mergeCell ref="J83:J84"/>
    <mergeCell ref="B100:B101"/>
    <mergeCell ref="C100:C101"/>
    <mergeCell ref="D100:D101"/>
    <mergeCell ref="E100:E101"/>
    <mergeCell ref="G100:G101"/>
    <mergeCell ref="G102:G103"/>
    <mergeCell ref="J52:J80"/>
    <mergeCell ref="B74:B76"/>
    <mergeCell ref="C74:C76"/>
    <mergeCell ref="D74:D76"/>
    <mergeCell ref="B71:B73"/>
    <mergeCell ref="C71:C73"/>
    <mergeCell ref="D71:D73"/>
    <mergeCell ref="B62:B64"/>
    <mergeCell ref="B68:B70"/>
    <mergeCell ref="C68:C70"/>
    <mergeCell ref="D68:D70"/>
    <mergeCell ref="B77:B79"/>
    <mergeCell ref="C77:C79"/>
    <mergeCell ref="D77:D79"/>
    <mergeCell ref="D62:D64"/>
    <mergeCell ref="B65:B67"/>
    <mergeCell ref="J50:J51"/>
    <mergeCell ref="C50:C51"/>
    <mergeCell ref="D50:D51"/>
    <mergeCell ref="E50:E51"/>
    <mergeCell ref="F50:F51"/>
    <mergeCell ref="G50:G51"/>
    <mergeCell ref="H50:I50"/>
    <mergeCell ref="B26:G26"/>
    <mergeCell ref="B59:B61"/>
    <mergeCell ref="C59:C61"/>
    <mergeCell ref="B50:B51"/>
    <mergeCell ref="D59:D61"/>
    <mergeCell ref="E57:E58"/>
    <mergeCell ref="B55:B58"/>
    <mergeCell ref="C55:C58"/>
    <mergeCell ref="D55:D58"/>
    <mergeCell ref="A5:J5"/>
    <mergeCell ref="B8:G8"/>
    <mergeCell ref="B10:E10"/>
    <mergeCell ref="B22:F22"/>
    <mergeCell ref="B25:G25"/>
    <mergeCell ref="B81:G81"/>
    <mergeCell ref="K83:L83"/>
    <mergeCell ref="B83:B84"/>
    <mergeCell ref="C83:C84"/>
    <mergeCell ref="D83:D84"/>
    <mergeCell ref="E83:E84"/>
    <mergeCell ref="F83:F84"/>
    <mergeCell ref="G83:G84"/>
    <mergeCell ref="H83:H84"/>
    <mergeCell ref="I83:I84"/>
    <mergeCell ref="C65:C67"/>
    <mergeCell ref="D65:D67"/>
    <mergeCell ref="C62:C64"/>
    <mergeCell ref="B52:B54"/>
    <mergeCell ref="C52:C54"/>
    <mergeCell ref="D52:D54"/>
  </mergeCells>
  <pageMargins left="0.7" right="0.7" top="0.75" bottom="0.75" header="0.3" footer="0.3"/>
  <pageSetup paperSize="9" scale="52" fitToHeight="0" orientation="landscape" r:id="rId1"/>
  <headerFooter>
    <oddHeader>&amp;C&amp;"Times New Roman,Regular"&amp;12TFSC_INT-ALL_V22.12&amp;R&amp;"Times New Roman,Regular"&amp;12Page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2D22-15BD-452D-8442-A2FA8CA3B27E}">
  <dimension ref="A1:Y55"/>
  <sheetViews>
    <sheetView topLeftCell="D16" zoomScale="80" zoomScaleNormal="80" workbookViewId="0">
      <selection activeCell="P27" sqref="P27"/>
    </sheetView>
  </sheetViews>
  <sheetFormatPr defaultRowHeight="15" x14ac:dyDescent="0.25"/>
  <cols>
    <col min="3" max="3" width="13.7109375" bestFit="1" customWidth="1"/>
    <col min="4" max="4" width="15.7109375" bestFit="1" customWidth="1"/>
    <col min="5" max="5" width="10.28515625" bestFit="1" customWidth="1"/>
    <col min="7" max="7" width="0" hidden="1" customWidth="1"/>
    <col min="8" max="8" width="13.42578125" customWidth="1"/>
    <col min="10" max="10" width="14.7109375" bestFit="1" customWidth="1"/>
    <col min="11" max="11" width="15.7109375" bestFit="1" customWidth="1"/>
    <col min="12" max="12" width="12.7109375" bestFit="1" customWidth="1"/>
    <col min="15" max="15" width="11.42578125" bestFit="1" customWidth="1"/>
    <col min="16" max="16" width="9.28515625" customWidth="1"/>
    <col min="17" max="17" width="15.28515625" customWidth="1"/>
    <col min="18" max="18" width="15.7109375" customWidth="1"/>
    <col min="19" max="20" width="13.7109375" customWidth="1"/>
    <col min="25" max="25" width="15.7109375" bestFit="1" customWidth="1"/>
  </cols>
  <sheetData>
    <row r="1" spans="1:25" ht="31.5" x14ac:dyDescent="0.25">
      <c r="A1" t="s">
        <v>182</v>
      </c>
      <c r="B1" s="11" t="s">
        <v>183</v>
      </c>
      <c r="C1" s="11" t="s">
        <v>184</v>
      </c>
      <c r="D1" s="11" t="s">
        <v>185</v>
      </c>
      <c r="E1" s="12" t="s">
        <v>186</v>
      </c>
      <c r="G1" s="13" t="s">
        <v>187</v>
      </c>
      <c r="H1" s="13" t="s">
        <v>188</v>
      </c>
      <c r="I1" s="14" t="s">
        <v>183</v>
      </c>
      <c r="J1" s="15" t="s">
        <v>184</v>
      </c>
      <c r="K1" s="16" t="s">
        <v>189</v>
      </c>
      <c r="L1" s="14" t="s">
        <v>186</v>
      </c>
      <c r="O1" s="17" t="s">
        <v>190</v>
      </c>
      <c r="Y1">
        <f>7*2</f>
        <v>14</v>
      </c>
    </row>
    <row r="2" spans="1:25" x14ac:dyDescent="0.25">
      <c r="B2" s="14">
        <f>28000+11100</f>
        <v>39100</v>
      </c>
      <c r="C2" s="14">
        <f>B2+7500</f>
        <v>46600</v>
      </c>
      <c r="D2" s="14">
        <v>21.430200000000003</v>
      </c>
      <c r="E2">
        <f>ROUNDUP(C2*D2,-3)</f>
        <v>999000</v>
      </c>
      <c r="G2">
        <v>989000</v>
      </c>
      <c r="I2" s="14">
        <f>7+33+25+2</f>
        <v>67</v>
      </c>
      <c r="J2" s="14">
        <f>I2+7</f>
        <v>74</v>
      </c>
      <c r="K2" s="15">
        <v>23419.200000000001</v>
      </c>
      <c r="L2" s="14">
        <f>ROUNDUP(J2*K2,-3)</f>
        <v>1734000</v>
      </c>
      <c r="O2" t="s">
        <v>188</v>
      </c>
      <c r="P2" s="14" t="s">
        <v>183</v>
      </c>
      <c r="Q2" s="15" t="s">
        <v>184</v>
      </c>
      <c r="R2" s="16" t="s">
        <v>189</v>
      </c>
      <c r="S2" s="14" t="s">
        <v>186</v>
      </c>
      <c r="T2" s="18"/>
      <c r="Y2">
        <f>15*2</f>
        <v>30</v>
      </c>
    </row>
    <row r="3" spans="1:25" x14ac:dyDescent="0.25">
      <c r="P3" s="14">
        <f>(7+33)*2+25+2</f>
        <v>107</v>
      </c>
      <c r="Q3" s="14">
        <f>P3+7*2</f>
        <v>121</v>
      </c>
      <c r="R3" s="15">
        <v>23419.200000000001</v>
      </c>
      <c r="S3" s="19">
        <f>ROUNDUP((Q3*R3)+S6,-3)</f>
        <v>3454000</v>
      </c>
      <c r="T3" s="20">
        <f>ROUNDUP(S3/R3,0)</f>
        <v>148</v>
      </c>
      <c r="Y3" s="15">
        <v>23419.200000000001</v>
      </c>
    </row>
    <row r="4" spans="1:25" ht="31.5" x14ac:dyDescent="0.25">
      <c r="A4" t="s">
        <v>191</v>
      </c>
      <c r="B4" s="11" t="s">
        <v>183</v>
      </c>
      <c r="C4" s="11" t="s">
        <v>184</v>
      </c>
      <c r="D4" s="11" t="s">
        <v>192</v>
      </c>
      <c r="E4" s="12" t="s">
        <v>186</v>
      </c>
      <c r="H4" s="13" t="s">
        <v>193</v>
      </c>
      <c r="I4" s="14" t="s">
        <v>183</v>
      </c>
      <c r="J4" s="15" t="s">
        <v>184</v>
      </c>
      <c r="K4" s="16" t="s">
        <v>189</v>
      </c>
      <c r="L4" s="14" t="s">
        <v>186</v>
      </c>
      <c r="R4" s="11" t="s">
        <v>194</v>
      </c>
      <c r="Y4" s="21">
        <f>ROUNDUP(Y1*Y3,-3)</f>
        <v>328000</v>
      </c>
    </row>
    <row r="5" spans="1:25" x14ac:dyDescent="0.25">
      <c r="B5" s="14">
        <f>1000+2130+530+5000</f>
        <v>8660</v>
      </c>
      <c r="C5" s="14">
        <f>B5+900</f>
        <v>9560</v>
      </c>
      <c r="D5" s="14">
        <v>207.71279999999999</v>
      </c>
      <c r="E5">
        <f>ROUNDUP(C5*D5,-3)</f>
        <v>1986000</v>
      </c>
      <c r="G5">
        <v>1951000</v>
      </c>
      <c r="I5" s="14">
        <f>7+48+25+2</f>
        <v>82</v>
      </c>
      <c r="J5" s="14">
        <f>I5+7</f>
        <v>89</v>
      </c>
      <c r="K5" s="15">
        <v>23419.200000000001</v>
      </c>
      <c r="L5" s="22">
        <f>ROUNDUP(J5*K5,-3)</f>
        <v>2085000</v>
      </c>
      <c r="P5">
        <v>28000</v>
      </c>
      <c r="R5" s="15">
        <v>9.448941798941799E-4</v>
      </c>
      <c r="S5" s="23">
        <f>P5*R5</f>
        <v>26.457037037037036</v>
      </c>
      <c r="T5" s="23"/>
      <c r="Y5">
        <f>ROUNDUP(Y2*Y3,-3)</f>
        <v>703000</v>
      </c>
    </row>
    <row r="6" spans="1:25" x14ac:dyDescent="0.25">
      <c r="R6" t="s">
        <v>189</v>
      </c>
      <c r="S6">
        <f>ROUNDUP(S5*R3,-3)</f>
        <v>620000</v>
      </c>
    </row>
    <row r="7" spans="1:25" ht="31.5" x14ac:dyDescent="0.25">
      <c r="A7" t="s">
        <v>195</v>
      </c>
      <c r="B7" s="11" t="s">
        <v>183</v>
      </c>
      <c r="C7" s="11" t="s">
        <v>184</v>
      </c>
      <c r="D7" s="11" t="s">
        <v>196</v>
      </c>
      <c r="E7" s="12" t="s">
        <v>186</v>
      </c>
      <c r="H7" s="13" t="s">
        <v>197</v>
      </c>
      <c r="I7" s="14" t="s">
        <v>183</v>
      </c>
      <c r="J7" s="14" t="s">
        <v>184</v>
      </c>
      <c r="K7" s="14" t="s">
        <v>189</v>
      </c>
      <c r="L7" s="14" t="s">
        <v>186</v>
      </c>
    </row>
    <row r="8" spans="1:25" x14ac:dyDescent="0.25">
      <c r="B8" s="14">
        <f>500+100</f>
        <v>600</v>
      </c>
      <c r="C8" s="14">
        <f>B8+200</f>
        <v>800</v>
      </c>
      <c r="D8" s="14">
        <v>864.27660000000003</v>
      </c>
      <c r="E8">
        <f>ROUNDUP(C8*D8,-3)</f>
        <v>692000</v>
      </c>
      <c r="G8">
        <v>670000</v>
      </c>
      <c r="I8" s="14">
        <f>33+25+2+7</f>
        <v>67</v>
      </c>
      <c r="J8" s="14">
        <f>I8+7</f>
        <v>74</v>
      </c>
      <c r="K8" s="15">
        <v>23419.200000000001</v>
      </c>
      <c r="L8" s="14">
        <f>ROUNDUP(J8*K8,-3)</f>
        <v>1734000</v>
      </c>
      <c r="O8" t="s">
        <v>193</v>
      </c>
      <c r="P8" s="14" t="s">
        <v>183</v>
      </c>
      <c r="Q8" s="15" t="s">
        <v>184</v>
      </c>
      <c r="R8" s="16" t="s">
        <v>189</v>
      </c>
      <c r="S8" s="14" t="s">
        <v>186</v>
      </c>
      <c r="T8" s="18"/>
    </row>
    <row r="9" spans="1:25" x14ac:dyDescent="0.25">
      <c r="P9" s="14">
        <f>(7+48)*2+25+2</f>
        <v>137</v>
      </c>
      <c r="Q9" s="14">
        <f>P9+7*2</f>
        <v>151</v>
      </c>
      <c r="R9" s="15">
        <v>23419.200000000001</v>
      </c>
      <c r="S9" s="22">
        <f>ROUNDUP((Q9*R9)+S12,-3)</f>
        <v>4323000</v>
      </c>
      <c r="T9" s="24">
        <v>4325000</v>
      </c>
      <c r="U9" s="25">
        <f>ROUNDUP(T9/R9,0)</f>
        <v>185</v>
      </c>
    </row>
    <row r="10" spans="1:25" ht="15.75" x14ac:dyDescent="0.25">
      <c r="A10" t="s">
        <v>198</v>
      </c>
      <c r="B10" s="16" t="s">
        <v>183</v>
      </c>
      <c r="C10" s="16" t="s">
        <v>184</v>
      </c>
      <c r="D10" s="16" t="s">
        <v>189</v>
      </c>
      <c r="E10" s="16" t="s">
        <v>186</v>
      </c>
      <c r="R10" s="11" t="s">
        <v>199</v>
      </c>
    </row>
    <row r="11" spans="1:25" x14ac:dyDescent="0.25">
      <c r="B11" s="14">
        <f>100+7+25+2</f>
        <v>134</v>
      </c>
      <c r="C11" s="14">
        <f>B11+15</f>
        <v>149</v>
      </c>
      <c r="D11" s="15">
        <v>23419.200000000001</v>
      </c>
      <c r="E11" s="14">
        <f>ROUNDUP(C11*D11,-3)</f>
        <v>3490000</v>
      </c>
      <c r="G11">
        <v>3489000</v>
      </c>
      <c r="P11">
        <f>530+2130+1000</f>
        <v>3660</v>
      </c>
      <c r="R11" s="14">
        <v>9.1584126984126987E-3</v>
      </c>
      <c r="S11">
        <f>P11*R11</f>
        <v>33.519790476190479</v>
      </c>
    </row>
    <row r="12" spans="1:25" x14ac:dyDescent="0.25">
      <c r="R12" t="s">
        <v>189</v>
      </c>
      <c r="S12" s="21">
        <f>ROUNDUP(S11*R9,-3)</f>
        <v>786000</v>
      </c>
      <c r="T12" s="21"/>
    </row>
    <row r="13" spans="1:25" x14ac:dyDescent="0.25">
      <c r="A13" t="s">
        <v>200</v>
      </c>
      <c r="B13" s="16" t="s">
        <v>183</v>
      </c>
      <c r="C13" s="16" t="s">
        <v>184</v>
      </c>
      <c r="D13" s="16" t="s">
        <v>201</v>
      </c>
      <c r="E13" s="16" t="s">
        <v>186</v>
      </c>
    </row>
    <row r="14" spans="1:25" x14ac:dyDescent="0.25">
      <c r="B14" s="14">
        <f>80+9.9+58.2+35.5</f>
        <v>183.60000000000002</v>
      </c>
      <c r="C14" s="14">
        <f>B14+15</f>
        <v>198.60000000000002</v>
      </c>
      <c r="D14" s="15">
        <v>27074.880000000001</v>
      </c>
      <c r="E14" s="14">
        <f>ROUNDUP(C14*D14,-3)</f>
        <v>5378000</v>
      </c>
      <c r="G14">
        <v>5323000</v>
      </c>
      <c r="O14" t="s">
        <v>197</v>
      </c>
      <c r="P14" s="14" t="s">
        <v>183</v>
      </c>
      <c r="Q14" s="14" t="s">
        <v>184</v>
      </c>
      <c r="R14" s="14" t="s">
        <v>189</v>
      </c>
      <c r="S14" s="14" t="s">
        <v>186</v>
      </c>
      <c r="T14" s="18"/>
    </row>
    <row r="15" spans="1:25" x14ac:dyDescent="0.25">
      <c r="P15" s="14">
        <f>(33+7)*2+25+2</f>
        <v>107</v>
      </c>
      <c r="Q15" s="14">
        <f>P15+7*2</f>
        <v>121</v>
      </c>
      <c r="R15" s="15">
        <v>23419.200000000001</v>
      </c>
      <c r="S15" s="14">
        <f>ROUNDUP((Q15*R15)+S18,-3)</f>
        <v>3281000</v>
      </c>
      <c r="T15" s="26">
        <v>3282000</v>
      </c>
      <c r="U15" s="25">
        <f>ROUNDUP(T15/R15,0)</f>
        <v>141</v>
      </c>
    </row>
    <row r="16" spans="1:25" x14ac:dyDescent="0.25">
      <c r="A16" t="s">
        <v>202</v>
      </c>
      <c r="B16" s="16" t="s">
        <v>183</v>
      </c>
      <c r="C16" s="16" t="s">
        <v>184</v>
      </c>
      <c r="D16" s="16" t="s">
        <v>203</v>
      </c>
      <c r="E16" s="16" t="s">
        <v>186</v>
      </c>
      <c r="H16" s="27" t="s">
        <v>204</v>
      </c>
      <c r="I16" s="14" t="s">
        <v>183</v>
      </c>
      <c r="J16" s="14" t="s">
        <v>184</v>
      </c>
      <c r="K16" s="14" t="s">
        <v>189</v>
      </c>
      <c r="L16" s="14" t="s">
        <v>186</v>
      </c>
      <c r="R16" t="s">
        <v>205</v>
      </c>
    </row>
    <row r="17" spans="1:21" x14ac:dyDescent="0.25">
      <c r="B17" s="14">
        <f>70+84+56</f>
        <v>210</v>
      </c>
      <c r="C17" s="14">
        <f>B17+12</f>
        <v>222</v>
      </c>
      <c r="D17" s="15">
        <v>32105.52</v>
      </c>
      <c r="E17" s="14">
        <f>ROUNDUP(C17*D17,-3)</f>
        <v>7128000</v>
      </c>
      <c r="G17">
        <v>7093000</v>
      </c>
      <c r="I17" s="14">
        <f>7+100+25+2</f>
        <v>134</v>
      </c>
      <c r="J17" s="14">
        <f>I17+15</f>
        <v>149</v>
      </c>
      <c r="K17" s="15">
        <v>23419.200000000001</v>
      </c>
      <c r="L17" s="14">
        <f>ROUNDUP(J17*K17,-3)</f>
        <v>3490000</v>
      </c>
      <c r="P17">
        <v>500</v>
      </c>
      <c r="R17">
        <v>3.8107433862433863E-2</v>
      </c>
      <c r="S17">
        <f>P17*R17</f>
        <v>19.053716931216933</v>
      </c>
    </row>
    <row r="18" spans="1:21" x14ac:dyDescent="0.25">
      <c r="R18" t="s">
        <v>189</v>
      </c>
      <c r="S18" s="21">
        <f>ROUNDUP(S17*R15,-3)</f>
        <v>447000</v>
      </c>
      <c r="T18" s="21"/>
    </row>
    <row r="19" spans="1:21" x14ac:dyDescent="0.25">
      <c r="A19" t="s">
        <v>206</v>
      </c>
      <c r="B19" s="16" t="s">
        <v>183</v>
      </c>
      <c r="C19" s="16" t="s">
        <v>184</v>
      </c>
      <c r="D19" s="16" t="s">
        <v>207</v>
      </c>
      <c r="E19" s="16" t="s">
        <v>186</v>
      </c>
      <c r="H19" s="27" t="s">
        <v>208</v>
      </c>
      <c r="I19" s="14" t="s">
        <v>183</v>
      </c>
      <c r="J19" s="14" t="s">
        <v>184</v>
      </c>
      <c r="K19" s="14" t="s">
        <v>189</v>
      </c>
      <c r="L19" s="14" t="s">
        <v>186</v>
      </c>
    </row>
    <row r="20" spans="1:21" x14ac:dyDescent="0.25">
      <c r="B20" s="14">
        <f>20+60+21+4</f>
        <v>105</v>
      </c>
      <c r="C20" s="14">
        <f>B20+20</f>
        <v>125</v>
      </c>
      <c r="D20" s="15">
        <v>17192.099999999999</v>
      </c>
      <c r="E20" s="14">
        <f>ROUNDUP(C20*D20,-3)</f>
        <v>2150000</v>
      </c>
      <c r="G20">
        <v>2157000</v>
      </c>
      <c r="I20" s="14">
        <f>7+15+25+2</f>
        <v>49</v>
      </c>
      <c r="J20" s="14">
        <f>I20+15</f>
        <v>64</v>
      </c>
      <c r="K20" s="15">
        <v>23419.200000000001</v>
      </c>
      <c r="L20" s="19">
        <f>ROUNDUP((J20*K20)+L23,-3)</f>
        <v>1872000</v>
      </c>
      <c r="O20" t="s">
        <v>204</v>
      </c>
      <c r="P20" s="14" t="s">
        <v>183</v>
      </c>
      <c r="Q20" s="14" t="s">
        <v>184</v>
      </c>
      <c r="R20" s="14" t="s">
        <v>189</v>
      </c>
      <c r="S20" s="14" t="s">
        <v>186</v>
      </c>
      <c r="T20" s="18"/>
    </row>
    <row r="21" spans="1:21" x14ac:dyDescent="0.25">
      <c r="J21" t="s">
        <v>209</v>
      </c>
      <c r="K21" t="s">
        <v>210</v>
      </c>
      <c r="P21" s="14">
        <f>(7+125)*2+25+2</f>
        <v>291</v>
      </c>
      <c r="Q21" s="14">
        <f>P21+15*2</f>
        <v>321</v>
      </c>
      <c r="R21" s="15">
        <v>23419.200000000001</v>
      </c>
      <c r="S21" s="14" t="e">
        <f>ROUNDUP((Q21*R21)+S24,-3)</f>
        <v>#VALUE!</v>
      </c>
      <c r="T21" s="26">
        <v>10990000</v>
      </c>
      <c r="U21" s="25">
        <f>ROUNDUP(T21/R21,0)</f>
        <v>470</v>
      </c>
    </row>
    <row r="22" spans="1:21" x14ac:dyDescent="0.25">
      <c r="J22">
        <v>21</v>
      </c>
      <c r="K22" s="15">
        <v>0.75802910052910055</v>
      </c>
      <c r="L22" s="28">
        <f>J22*K22</f>
        <v>15.918611111111112</v>
      </c>
      <c r="R22" t="s">
        <v>211</v>
      </c>
    </row>
    <row r="23" spans="1:21" x14ac:dyDescent="0.25">
      <c r="K23" t="s">
        <v>189</v>
      </c>
      <c r="L23" s="23">
        <f>ROUNDUP(L22*K20,-3)</f>
        <v>373000</v>
      </c>
      <c r="P23" t="s">
        <v>219</v>
      </c>
      <c r="R23">
        <v>1.4155873015873017</v>
      </c>
      <c r="S23" t="e">
        <f>P23*R23</f>
        <v>#VALUE!</v>
      </c>
    </row>
    <row r="24" spans="1:21" x14ac:dyDescent="0.25">
      <c r="R24" t="s">
        <v>189</v>
      </c>
      <c r="S24" s="21" t="e">
        <f>ROUNDUP(S23*R21,-3)</f>
        <v>#VALUE!</v>
      </c>
      <c r="T24" s="21"/>
    </row>
    <row r="26" spans="1:21" x14ac:dyDescent="0.25">
      <c r="O26" t="s">
        <v>208</v>
      </c>
      <c r="P26" s="14" t="s">
        <v>183</v>
      </c>
      <c r="Q26" s="14" t="s">
        <v>184</v>
      </c>
      <c r="R26" s="14" t="s">
        <v>189</v>
      </c>
      <c r="S26" s="14" t="s">
        <v>186</v>
      </c>
      <c r="T26" s="18"/>
    </row>
    <row r="27" spans="1:21" x14ac:dyDescent="0.25">
      <c r="P27" s="14">
        <f>(7+15)*2+20+2</f>
        <v>66</v>
      </c>
      <c r="Q27" s="14">
        <f>P27+15*2</f>
        <v>96</v>
      </c>
      <c r="R27" s="15">
        <v>23419.200000000001</v>
      </c>
      <c r="S27" s="29">
        <f>ROUNDUP((Q27*R27)+S30,-3)</f>
        <v>4131000</v>
      </c>
      <c r="T27" s="26">
        <v>4134000</v>
      </c>
      <c r="U27" s="25">
        <f>ROUNDUP(T27/R27,0)</f>
        <v>177</v>
      </c>
    </row>
    <row r="28" spans="1:21" x14ac:dyDescent="0.25">
      <c r="R28" t="s">
        <v>210</v>
      </c>
    </row>
    <row r="29" spans="1:21" x14ac:dyDescent="0.25">
      <c r="Q29">
        <f>21+21+4+60</f>
        <v>106</v>
      </c>
      <c r="R29" s="15">
        <v>0.75802910052910055</v>
      </c>
      <c r="S29" s="23">
        <f>Q29*R29</f>
        <v>80.351084656084652</v>
      </c>
      <c r="T29" s="28"/>
    </row>
    <row r="30" spans="1:21" x14ac:dyDescent="0.25">
      <c r="R30" t="s">
        <v>189</v>
      </c>
      <c r="S30" s="21">
        <f>ROUNDUP(S29*R27,-3)</f>
        <v>1882000</v>
      </c>
      <c r="T30" s="21"/>
    </row>
    <row r="32" spans="1:21" x14ac:dyDescent="0.25">
      <c r="O32" t="s">
        <v>212</v>
      </c>
      <c r="P32" s="16" t="s">
        <v>183</v>
      </c>
      <c r="Q32" s="16" t="s">
        <v>184</v>
      </c>
      <c r="R32" s="16" t="s">
        <v>189</v>
      </c>
      <c r="S32" s="16" t="s">
        <v>186</v>
      </c>
      <c r="T32" s="30"/>
    </row>
    <row r="33" spans="15:21" x14ac:dyDescent="0.25">
      <c r="P33" s="14">
        <f>(100+7)*2+25+2</f>
        <v>241</v>
      </c>
      <c r="Q33" s="14">
        <f>P33+15*2</f>
        <v>271</v>
      </c>
      <c r="R33" s="15">
        <v>23419.200000000001</v>
      </c>
      <c r="S33" s="14">
        <f>ROUNDUP((Q33*R33)+S36,-3)</f>
        <v>9244000</v>
      </c>
      <c r="T33" s="26">
        <v>9246000</v>
      </c>
      <c r="U33" s="25">
        <f>ROUNDUP(T33/R33,0)</f>
        <v>395</v>
      </c>
    </row>
    <row r="34" spans="15:21" x14ac:dyDescent="0.25">
      <c r="R34" t="s">
        <v>213</v>
      </c>
    </row>
    <row r="35" spans="15:21" x14ac:dyDescent="0.25">
      <c r="P35">
        <f>9.9+58.2+35.5</f>
        <v>103.60000000000001</v>
      </c>
      <c r="R35" s="15">
        <v>1.1937777777777776</v>
      </c>
      <c r="S35" s="23">
        <f>ROUNDUP(P35*R35,2)</f>
        <v>123.68</v>
      </c>
      <c r="T35" s="23"/>
    </row>
    <row r="36" spans="15:21" x14ac:dyDescent="0.25">
      <c r="R36" t="s">
        <v>189</v>
      </c>
      <c r="S36">
        <f>ROUNDUP(S35*R33,-3)</f>
        <v>2897000</v>
      </c>
    </row>
    <row r="39" spans="15:21" x14ac:dyDescent="0.25">
      <c r="R39" t="s">
        <v>214</v>
      </c>
      <c r="S39" t="s">
        <v>27</v>
      </c>
    </row>
    <row r="40" spans="15:21" x14ac:dyDescent="0.25">
      <c r="O40" t="s">
        <v>215</v>
      </c>
      <c r="P40">
        <f>2286000+328000</f>
        <v>2614000</v>
      </c>
      <c r="Q40">
        <f>ROUNDUP(30*R33,-3)</f>
        <v>703000</v>
      </c>
      <c r="R40" s="17">
        <f>P40+Q40</f>
        <v>3317000</v>
      </c>
      <c r="S40" s="31">
        <f>ROUNDUP(R40/$R$33,0)</f>
        <v>142</v>
      </c>
    </row>
    <row r="41" spans="15:21" x14ac:dyDescent="0.25">
      <c r="O41" t="s">
        <v>208</v>
      </c>
      <c r="P41">
        <f>3103000+328000</f>
        <v>3431000</v>
      </c>
      <c r="Q41">
        <v>703000</v>
      </c>
      <c r="R41" s="17">
        <f>P41+Q41</f>
        <v>4134000</v>
      </c>
      <c r="S41" s="31">
        <f>ROUNDUP(R41/$R$33,0)</f>
        <v>177</v>
      </c>
    </row>
    <row r="42" spans="15:21" x14ac:dyDescent="0.25">
      <c r="O42" t="s">
        <v>206</v>
      </c>
      <c r="P42">
        <v>3057000</v>
      </c>
      <c r="Q42">
        <f>ROUNDUP(40*D20,-3)</f>
        <v>688000</v>
      </c>
      <c r="R42" s="17">
        <f>P42+Q42</f>
        <v>3745000</v>
      </c>
      <c r="S42" s="31">
        <f>ROUNDUP(R42/$R$33,0)</f>
        <v>160</v>
      </c>
    </row>
    <row r="43" spans="15:21" x14ac:dyDescent="0.25">
      <c r="O43" t="s">
        <v>216</v>
      </c>
      <c r="P43">
        <v>2264000</v>
      </c>
      <c r="Q43">
        <v>688000</v>
      </c>
      <c r="R43" s="17">
        <f>P43+Q43</f>
        <v>2952000</v>
      </c>
      <c r="S43" s="31">
        <f>ROUNDUP(R43/$R$33,0)</f>
        <v>127</v>
      </c>
    </row>
    <row r="45" spans="15:21" x14ac:dyDescent="0.25">
      <c r="R45" t="s">
        <v>214</v>
      </c>
      <c r="S45" t="s">
        <v>27</v>
      </c>
    </row>
    <row r="46" spans="15:21" x14ac:dyDescent="0.25">
      <c r="O46" t="s">
        <v>217</v>
      </c>
      <c r="Q46">
        <v>868000</v>
      </c>
      <c r="R46" s="17">
        <f>Q46+Q47+Q48+Q49+Q50</f>
        <v>3761000</v>
      </c>
      <c r="S46" s="32">
        <f>ROUNDUP(R46/$R$33,0)</f>
        <v>161</v>
      </c>
    </row>
    <row r="47" spans="15:21" x14ac:dyDescent="0.25">
      <c r="Q47">
        <v>164000</v>
      </c>
    </row>
    <row r="48" spans="15:21" x14ac:dyDescent="0.25">
      <c r="Q48">
        <v>164000</v>
      </c>
    </row>
    <row r="49" spans="15:19" x14ac:dyDescent="0.25">
      <c r="Q49">
        <v>1862000</v>
      </c>
    </row>
    <row r="50" spans="15:19" x14ac:dyDescent="0.25">
      <c r="Q50">
        <v>703000</v>
      </c>
    </row>
    <row r="51" spans="15:19" x14ac:dyDescent="0.25">
      <c r="O51" t="s">
        <v>218</v>
      </c>
      <c r="Q51">
        <v>1241000</v>
      </c>
      <c r="R51" s="17">
        <f>Q51+Q52+Q53+Q54+Q55</f>
        <v>3690000</v>
      </c>
      <c r="S51" s="32">
        <f>ROUNDUP(R51/$R$33,0)</f>
        <v>158</v>
      </c>
    </row>
    <row r="52" spans="15:19" x14ac:dyDescent="0.25">
      <c r="Q52">
        <v>164000</v>
      </c>
    </row>
    <row r="53" spans="15:19" x14ac:dyDescent="0.25">
      <c r="Q53">
        <v>164000</v>
      </c>
    </row>
    <row r="54" spans="15:19" x14ac:dyDescent="0.25">
      <c r="Q54">
        <v>1418000</v>
      </c>
    </row>
    <row r="55" spans="15:19" x14ac:dyDescent="0.25">
      <c r="Q55">
        <v>703000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8. TFC</vt:lpstr>
      <vt:lpstr>Sheet1</vt:lpstr>
      <vt:lpstr>'8. TFC'!Print_Area</vt:lpstr>
      <vt:lpstr>'8. TFC'!Print_Titles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 PRM Hang</dc:creator>
  <cp:lastModifiedBy>Thao</cp:lastModifiedBy>
  <cp:lastPrinted>2022-08-01T07:04:51Z</cp:lastPrinted>
  <dcterms:created xsi:type="dcterms:W3CDTF">2021-12-15T10:34:18Z</dcterms:created>
  <dcterms:modified xsi:type="dcterms:W3CDTF">2022-08-12T04:47:54Z</dcterms:modified>
</cp:coreProperties>
</file>